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/>
  <mc:AlternateContent xmlns:mc="http://schemas.openxmlformats.org/markup-compatibility/2006">
    <mc:Choice Requires="x15">
      <x15ac:absPath xmlns:x15ac="http://schemas.microsoft.com/office/spreadsheetml/2010/11/ac" url="D:\FG Variables\Homepage\images\ToM\"/>
    </mc:Choice>
  </mc:AlternateContent>
  <bookViews>
    <workbookView xWindow="15" yWindow="30" windowWidth="14805" windowHeight="15720" xr2:uid="{00000000-000D-0000-FFFF-FFFF00000000}"/>
  </bookViews>
  <sheets>
    <sheet name="Time of Minimum" sheetId="1" r:id="rId1"/>
    <sheet name="Calc." sheetId="2" r:id="rId2"/>
  </sheets>
  <calcPr calcId="171027"/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H31" i="1"/>
  <c r="I18" i="1"/>
  <c r="D38" i="2" l="1"/>
  <c r="D39" i="2" s="1"/>
  <c r="D40" i="2" s="1"/>
  <c r="D42" i="2" s="1"/>
  <c r="D10" i="2"/>
  <c r="D11" i="2"/>
  <c r="D23" i="2" s="1"/>
  <c r="D12" i="2"/>
  <c r="D13" i="2"/>
  <c r="D14" i="2"/>
  <c r="D15" i="2"/>
  <c r="D24" i="2"/>
  <c r="D41" i="2" l="1"/>
  <c r="D43" i="2"/>
  <c r="D44" i="2" s="1"/>
  <c r="D25" i="2"/>
  <c r="D22" i="2"/>
  <c r="D26" i="2" s="1"/>
  <c r="D21" i="2"/>
  <c r="D45" i="2" l="1"/>
  <c r="D46" i="2" s="1"/>
  <c r="D27" i="2"/>
  <c r="D28" i="2" s="1"/>
  <c r="E25" i="1" l="1"/>
  <c r="B31" i="1" s="1"/>
  <c r="C31" i="1" s="1"/>
  <c r="D29" i="2"/>
  <c r="D47" i="2"/>
  <c r="D56" i="2" s="1"/>
  <c r="D31" i="2"/>
  <c r="D30" i="2"/>
  <c r="D32" i="2"/>
  <c r="D33" i="2" s="1"/>
  <c r="B32" i="1" l="1"/>
  <c r="C32" i="1" s="1"/>
  <c r="D78" i="2" s="1"/>
  <c r="D79" i="2" s="1"/>
  <c r="D58" i="2"/>
  <c r="D59" i="2" s="1"/>
  <c r="D60" i="2" s="1"/>
  <c r="D57" i="2"/>
  <c r="D48" i="2"/>
  <c r="B33" i="1" l="1"/>
  <c r="C33" i="1" s="1"/>
  <c r="D98" i="2" s="1"/>
  <c r="D99" i="2" s="1"/>
  <c r="D100" i="2" s="1"/>
  <c r="D61" i="2"/>
  <c r="D62" i="2"/>
  <c r="D63" i="2" s="1"/>
  <c r="D64" i="2" s="1"/>
  <c r="D80" i="2"/>
  <c r="D81" i="2" s="1"/>
  <c r="D49" i="2"/>
  <c r="B34" i="1" l="1"/>
  <c r="C34" i="1" s="1"/>
  <c r="D118" i="2" s="1"/>
  <c r="D119" i="2" s="1"/>
  <c r="D120" i="2" s="1"/>
  <c r="D101" i="2"/>
  <c r="D102" i="2"/>
  <c r="D103" i="2" s="1"/>
  <c r="D104" i="2" s="1"/>
  <c r="D82" i="2"/>
  <c r="D83" i="2" s="1"/>
  <c r="D84" i="2" s="1"/>
  <c r="D65" i="2"/>
  <c r="D66" i="2" s="1"/>
  <c r="D67" i="2" s="1"/>
  <c r="D76" i="2" s="1"/>
  <c r="F31" i="1" s="1"/>
  <c r="D50" i="2"/>
  <c r="D51" i="2" s="1"/>
  <c r="F51" i="2" s="1"/>
  <c r="B35" i="1" l="1"/>
  <c r="D85" i="2"/>
  <c r="D86" i="2" s="1"/>
  <c r="D87" i="2" s="1"/>
  <c r="D96" i="2" s="1"/>
  <c r="D77" i="2"/>
  <c r="E31" i="1" s="1"/>
  <c r="D68" i="2"/>
  <c r="D69" i="2" s="1"/>
  <c r="G31" i="1" s="1"/>
  <c r="D105" i="2"/>
  <c r="D106" i="2" s="1"/>
  <c r="D107" i="2" s="1"/>
  <c r="D116" i="2" s="1"/>
  <c r="D121" i="2"/>
  <c r="D122" i="2"/>
  <c r="D123" i="2" s="1"/>
  <c r="D124" i="2" s="1"/>
  <c r="D52" i="2"/>
  <c r="D53" i="2" s="1"/>
  <c r="B36" i="1"/>
  <c r="C35" i="1"/>
  <c r="D138" i="2" s="1"/>
  <c r="D139" i="2" s="1"/>
  <c r="F53" i="2" l="1"/>
  <c r="D88" i="2"/>
  <c r="D89" i="2" s="1"/>
  <c r="G32" i="1" s="1"/>
  <c r="D108" i="2"/>
  <c r="D109" i="2" s="1"/>
  <c r="G33" i="1" s="1"/>
  <c r="D117" i="2"/>
  <c r="E33" i="1" s="1"/>
  <c r="F33" i="1"/>
  <c r="D140" i="2"/>
  <c r="D142" i="2" s="1"/>
  <c r="D143" i="2" s="1"/>
  <c r="D144" i="2" s="1"/>
  <c r="D70" i="2"/>
  <c r="D71" i="2" s="1"/>
  <c r="D125" i="2"/>
  <c r="D126" i="2" s="1"/>
  <c r="D127" i="2" s="1"/>
  <c r="D136" i="2" s="1"/>
  <c r="D97" i="2"/>
  <c r="E32" i="1" s="1"/>
  <c r="F32" i="1"/>
  <c r="D54" i="2"/>
  <c r="D55" i="2" s="1"/>
  <c r="F55" i="2" s="1"/>
  <c r="B37" i="1"/>
  <c r="C36" i="1"/>
  <c r="D158" i="2" s="1"/>
  <c r="D159" i="2" s="1"/>
  <c r="F71" i="2" l="1"/>
  <c r="D90" i="2"/>
  <c r="D91" i="2" s="1"/>
  <c r="D110" i="2"/>
  <c r="D111" i="2" s="1"/>
  <c r="D141" i="2"/>
  <c r="D128" i="2"/>
  <c r="D129" i="2" s="1"/>
  <c r="G34" i="1" s="1"/>
  <c r="D72" i="2"/>
  <c r="D73" i="2" s="1"/>
  <c r="D137" i="2"/>
  <c r="E34" i="1" s="1"/>
  <c r="F34" i="1"/>
  <c r="D145" i="2"/>
  <c r="D146" i="2" s="1"/>
  <c r="D160" i="2"/>
  <c r="D162" i="2" s="1"/>
  <c r="D163" i="2" s="1"/>
  <c r="D164" i="2" s="1"/>
  <c r="B38" i="1"/>
  <c r="C37" i="1"/>
  <c r="D178" i="2" s="1"/>
  <c r="D179" i="2" s="1"/>
  <c r="F73" i="2" l="1"/>
  <c r="F111" i="2"/>
  <c r="F91" i="2"/>
  <c r="D92" i="2"/>
  <c r="D93" i="2" s="1"/>
  <c r="D130" i="2"/>
  <c r="D131" i="2" s="1"/>
  <c r="D112" i="2"/>
  <c r="D113" i="2" s="1"/>
  <c r="D147" i="2"/>
  <c r="D156" i="2" s="1"/>
  <c r="D165" i="2"/>
  <c r="D166" i="2" s="1"/>
  <c r="D167" i="2" s="1"/>
  <c r="D176" i="2" s="1"/>
  <c r="D180" i="2"/>
  <c r="D182" i="2" s="1"/>
  <c r="D183" i="2" s="1"/>
  <c r="D184" i="2" s="1"/>
  <c r="D161" i="2"/>
  <c r="D74" i="2"/>
  <c r="D75" i="2" s="1"/>
  <c r="B39" i="1"/>
  <c r="C38" i="1"/>
  <c r="D198" i="2" s="1"/>
  <c r="D199" i="2" s="1"/>
  <c r="F131" i="2" l="1"/>
  <c r="F93" i="2"/>
  <c r="F75" i="2"/>
  <c r="F113" i="2"/>
  <c r="D94" i="2"/>
  <c r="D95" i="2" s="1"/>
  <c r="D181" i="2"/>
  <c r="D114" i="2"/>
  <c r="D115" i="2" s="1"/>
  <c r="D177" i="2"/>
  <c r="E36" i="1" s="1"/>
  <c r="F36" i="1"/>
  <c r="D132" i="2"/>
  <c r="D133" i="2" s="1"/>
  <c r="F133" i="2" s="1"/>
  <c r="D157" i="2"/>
  <c r="E35" i="1" s="1"/>
  <c r="F35" i="1"/>
  <c r="D168" i="2"/>
  <c r="D169" i="2" s="1"/>
  <c r="D185" i="2"/>
  <c r="D186" i="2" s="1"/>
  <c r="D187" i="2" s="1"/>
  <c r="D196" i="2" s="1"/>
  <c r="D200" i="2"/>
  <c r="D202" i="2" s="1"/>
  <c r="D203" i="2" s="1"/>
  <c r="D204" i="2" s="1"/>
  <c r="D148" i="2"/>
  <c r="D149" i="2" s="1"/>
  <c r="B40" i="1"/>
  <c r="C39" i="1"/>
  <c r="D218" i="2" s="1"/>
  <c r="D219" i="2" s="1"/>
  <c r="F95" i="2" l="1"/>
  <c r="F115" i="2"/>
  <c r="D197" i="2"/>
  <c r="E37" i="1" s="1"/>
  <c r="F37" i="1"/>
  <c r="D170" i="2"/>
  <c r="D171" i="2" s="1"/>
  <c r="F171" i="2" s="1"/>
  <c r="G36" i="1"/>
  <c r="D188" i="2"/>
  <c r="D189" i="2" s="1"/>
  <c r="D150" i="2"/>
  <c r="G35" i="1"/>
  <c r="D134" i="2"/>
  <c r="D135" i="2" s="1"/>
  <c r="D220" i="2"/>
  <c r="D222" i="2" s="1"/>
  <c r="D223" i="2" s="1"/>
  <c r="D224" i="2" s="1"/>
  <c r="C40" i="1"/>
  <c r="D238" i="2" s="1"/>
  <c r="D239" i="2" s="1"/>
  <c r="D240" i="2" s="1"/>
  <c r="B41" i="1"/>
  <c r="D201" i="2"/>
  <c r="D205" i="2"/>
  <c r="D206" i="2" s="1"/>
  <c r="F135" i="2" l="1"/>
  <c r="D221" i="2"/>
  <c r="D151" i="2"/>
  <c r="D190" i="2"/>
  <c r="D191" i="2" s="1"/>
  <c r="F191" i="2" s="1"/>
  <c r="G37" i="1"/>
  <c r="D172" i="2"/>
  <c r="D173" i="2" s="1"/>
  <c r="F173" i="2" s="1"/>
  <c r="D207" i="2"/>
  <c r="D216" i="2" s="1"/>
  <c r="B42" i="1"/>
  <c r="C41" i="1"/>
  <c r="D258" i="2" s="1"/>
  <c r="D259" i="2" s="1"/>
  <c r="D260" i="2" s="1"/>
  <c r="D225" i="2"/>
  <c r="D226" i="2" s="1"/>
  <c r="D227" i="2" s="1"/>
  <c r="D236" i="2" s="1"/>
  <c r="D241" i="2"/>
  <c r="D242" i="2"/>
  <c r="D243" i="2" s="1"/>
  <c r="D244" i="2" s="1"/>
  <c r="F151" i="2" l="1"/>
  <c r="D245" i="2"/>
  <c r="D246" i="2" s="1"/>
  <c r="D247" i="2" s="1"/>
  <c r="D228" i="2"/>
  <c r="D229" i="2" s="1"/>
  <c r="D192" i="2"/>
  <c r="D193" i="2" s="1"/>
  <c r="F193" i="2" s="1"/>
  <c r="D237" i="2"/>
  <c r="E39" i="1" s="1"/>
  <c r="F39" i="1"/>
  <c r="D152" i="2"/>
  <c r="D153" i="2" s="1"/>
  <c r="F153" i="2" s="1"/>
  <c r="D261" i="2"/>
  <c r="D262" i="2"/>
  <c r="D263" i="2" s="1"/>
  <c r="D264" i="2" s="1"/>
  <c r="D217" i="2"/>
  <c r="E38" i="1" s="1"/>
  <c r="F38" i="1"/>
  <c r="D174" i="2"/>
  <c r="D175" i="2" s="1"/>
  <c r="B43" i="1"/>
  <c r="C42" i="1"/>
  <c r="D278" i="2" s="1"/>
  <c r="D279" i="2" s="1"/>
  <c r="D208" i="2"/>
  <c r="D209" i="2" s="1"/>
  <c r="F175" i="2" l="1"/>
  <c r="D256" i="2"/>
  <c r="D248" i="2"/>
  <c r="D249" i="2" s="1"/>
  <c r="D230" i="2"/>
  <c r="D231" i="2" s="1"/>
  <c r="F231" i="2" s="1"/>
  <c r="G39" i="1"/>
  <c r="D265" i="2"/>
  <c r="D266" i="2" s="1"/>
  <c r="D267" i="2" s="1"/>
  <c r="D276" i="2" s="1"/>
  <c r="D194" i="2"/>
  <c r="D195" i="2" s="1"/>
  <c r="D210" i="2"/>
  <c r="D211" i="2" s="1"/>
  <c r="F211" i="2" s="1"/>
  <c r="G38" i="1"/>
  <c r="C43" i="1"/>
  <c r="D298" i="2" s="1"/>
  <c r="D299" i="2" s="1"/>
  <c r="D300" i="2" s="1"/>
  <c r="B44" i="1"/>
  <c r="D280" i="2"/>
  <c r="D282" i="2" s="1"/>
  <c r="D283" i="2" s="1"/>
  <c r="D284" i="2" s="1"/>
  <c r="D154" i="2"/>
  <c r="D155" i="2" s="1"/>
  <c r="F195" i="2" l="1"/>
  <c r="F155" i="2"/>
  <c r="D281" i="2"/>
  <c r="D277" i="2"/>
  <c r="E41" i="1" s="1"/>
  <c r="F41" i="1"/>
  <c r="D268" i="2"/>
  <c r="D269" i="2" s="1"/>
  <c r="D301" i="2"/>
  <c r="D302" i="2"/>
  <c r="D303" i="2" s="1"/>
  <c r="D304" i="2" s="1"/>
  <c r="D232" i="2"/>
  <c r="D233" i="2" s="1"/>
  <c r="F233" i="2" s="1"/>
  <c r="D285" i="2"/>
  <c r="D286" i="2" s="1"/>
  <c r="D287" i="2" s="1"/>
  <c r="D296" i="2" s="1"/>
  <c r="D250" i="2"/>
  <c r="D251" i="2" s="1"/>
  <c r="F251" i="2" s="1"/>
  <c r="G40" i="1"/>
  <c r="C44" i="1"/>
  <c r="D318" i="2" s="1"/>
  <c r="D319" i="2" s="1"/>
  <c r="B45" i="1"/>
  <c r="D212" i="2"/>
  <c r="D213" i="2" s="1"/>
  <c r="F213" i="2" s="1"/>
  <c r="D257" i="2"/>
  <c r="E40" i="1" s="1"/>
  <c r="F40" i="1"/>
  <c r="D305" i="2" l="1"/>
  <c r="D306" i="2" s="1"/>
  <c r="D307" i="2" s="1"/>
  <c r="D316" i="2" s="1"/>
  <c r="D214" i="2"/>
  <c r="D215" i="2" s="1"/>
  <c r="B46" i="1"/>
  <c r="C45" i="1"/>
  <c r="D338" i="2" s="1"/>
  <c r="D339" i="2" s="1"/>
  <c r="D270" i="2"/>
  <c r="D271" i="2" s="1"/>
  <c r="F271" i="2" s="1"/>
  <c r="G41" i="1"/>
  <c r="D320" i="2"/>
  <c r="D322" i="2" s="1"/>
  <c r="D323" i="2" s="1"/>
  <c r="D324" i="2" s="1"/>
  <c r="D252" i="2"/>
  <c r="D253" i="2" s="1"/>
  <c r="F253" i="2" s="1"/>
  <c r="D288" i="2"/>
  <c r="D234" i="2"/>
  <c r="D235" i="2" s="1"/>
  <c r="D297" i="2"/>
  <c r="E42" i="1" s="1"/>
  <c r="F42" i="1"/>
  <c r="F235" i="2" l="1"/>
  <c r="F215" i="2"/>
  <c r="D340" i="2"/>
  <c r="D342" i="2" s="1"/>
  <c r="D343" i="2" s="1"/>
  <c r="D344" i="2" s="1"/>
  <c r="C46" i="1"/>
  <c r="D358" i="2" s="1"/>
  <c r="D359" i="2" s="1"/>
  <c r="D360" i="2" s="1"/>
  <c r="B47" i="1"/>
  <c r="D272" i="2"/>
  <c r="D289" i="2"/>
  <c r="G42" i="1" s="1"/>
  <c r="D254" i="2"/>
  <c r="D255" i="2" s="1"/>
  <c r="D321" i="2"/>
  <c r="D308" i="2"/>
  <c r="D309" i="2" s="1"/>
  <c r="D325" i="2"/>
  <c r="D326" i="2" s="1"/>
  <c r="D327" i="2" s="1"/>
  <c r="D336" i="2" s="1"/>
  <c r="D317" i="2"/>
  <c r="E43" i="1" s="1"/>
  <c r="F43" i="1"/>
  <c r="F255" i="2" l="1"/>
  <c r="D328" i="2"/>
  <c r="D329" i="2" s="1"/>
  <c r="G44" i="1" s="1"/>
  <c r="D290" i="2"/>
  <c r="D310" i="2"/>
  <c r="D311" i="2" s="1"/>
  <c r="F311" i="2" s="1"/>
  <c r="G43" i="1"/>
  <c r="D337" i="2"/>
  <c r="E44" i="1" s="1"/>
  <c r="F44" i="1"/>
  <c r="D361" i="2"/>
  <c r="D362" i="2"/>
  <c r="D363" i="2" s="1"/>
  <c r="D364" i="2" s="1"/>
  <c r="D273" i="2"/>
  <c r="C47" i="1"/>
  <c r="D378" i="2" s="1"/>
  <c r="D379" i="2" s="1"/>
  <c r="B48" i="1"/>
  <c r="D341" i="2"/>
  <c r="D345" i="2"/>
  <c r="D346" i="2" s="1"/>
  <c r="F273" i="2" l="1"/>
  <c r="D330" i="2"/>
  <c r="D331" i="2" s="1"/>
  <c r="D274" i="2"/>
  <c r="D275" i="2" s="1"/>
  <c r="D347" i="2"/>
  <c r="D356" i="2" s="1"/>
  <c r="C48" i="1"/>
  <c r="D398" i="2" s="1"/>
  <c r="D399" i="2" s="1"/>
  <c r="D400" i="2" s="1"/>
  <c r="B49" i="1"/>
  <c r="D365" i="2"/>
  <c r="D366" i="2" s="1"/>
  <c r="D380" i="2"/>
  <c r="D381" i="2" s="1"/>
  <c r="D312" i="2"/>
  <c r="D313" i="2" s="1"/>
  <c r="F313" i="2" s="1"/>
  <c r="D291" i="2"/>
  <c r="F291" i="2" l="1"/>
  <c r="F331" i="2"/>
  <c r="F275" i="2"/>
  <c r="D332" i="2"/>
  <c r="D333" i="2" s="1"/>
  <c r="D292" i="2"/>
  <c r="D293" i="2" s="1"/>
  <c r="D367" i="2"/>
  <c r="D376" i="2" s="1"/>
  <c r="D357" i="2"/>
  <c r="E45" i="1" s="1"/>
  <c r="F45" i="1"/>
  <c r="D401" i="2"/>
  <c r="D402" i="2"/>
  <c r="D403" i="2" s="1"/>
  <c r="D404" i="2" s="1"/>
  <c r="C49" i="1"/>
  <c r="D418" i="2" s="1"/>
  <c r="D419" i="2" s="1"/>
  <c r="B50" i="1"/>
  <c r="D314" i="2"/>
  <c r="D315" i="2" s="1"/>
  <c r="D382" i="2"/>
  <c r="D383" i="2" s="1"/>
  <c r="D384" i="2" s="1"/>
  <c r="D348" i="2"/>
  <c r="D349" i="2" s="1"/>
  <c r="F333" i="2" l="1"/>
  <c r="F315" i="2"/>
  <c r="F293" i="2"/>
  <c r="D294" i="2"/>
  <c r="D295" i="2" s="1"/>
  <c r="D334" i="2"/>
  <c r="D335" i="2" s="1"/>
  <c r="D368" i="2"/>
  <c r="D369" i="2" s="1"/>
  <c r="G46" i="1" s="1"/>
  <c r="D405" i="2"/>
  <c r="D406" i="2" s="1"/>
  <c r="D407" i="2" s="1"/>
  <c r="D416" i="2" s="1"/>
  <c r="D385" i="2"/>
  <c r="D386" i="2" s="1"/>
  <c r="D387" i="2" s="1"/>
  <c r="D396" i="2" s="1"/>
  <c r="D420" i="2"/>
  <c r="D422" i="2" s="1"/>
  <c r="D423" i="2" s="1"/>
  <c r="D424" i="2" s="1"/>
  <c r="D350" i="2"/>
  <c r="D351" i="2" s="1"/>
  <c r="F351" i="2" s="1"/>
  <c r="G45" i="1"/>
  <c r="D377" i="2"/>
  <c r="E46" i="1" s="1"/>
  <c r="F46" i="1"/>
  <c r="B51" i="1"/>
  <c r="C50" i="1"/>
  <c r="D438" i="2" s="1"/>
  <c r="D439" i="2" s="1"/>
  <c r="F295" i="2" l="1"/>
  <c r="F335" i="2"/>
  <c r="D370" i="2"/>
  <c r="D371" i="2" s="1"/>
  <c r="D352" i="2"/>
  <c r="D353" i="2" s="1"/>
  <c r="F353" i="2" s="1"/>
  <c r="D421" i="2"/>
  <c r="D425" i="2"/>
  <c r="D426" i="2" s="1"/>
  <c r="D427" i="2" s="1"/>
  <c r="D436" i="2" s="1"/>
  <c r="D397" i="2"/>
  <c r="E47" i="1" s="1"/>
  <c r="F47" i="1"/>
  <c r="D440" i="2"/>
  <c r="D442" i="2" s="1"/>
  <c r="D443" i="2" s="1"/>
  <c r="D444" i="2" s="1"/>
  <c r="D388" i="2"/>
  <c r="D389" i="2" s="1"/>
  <c r="C51" i="1"/>
  <c r="D458" i="2" s="1"/>
  <c r="D459" i="2" s="1"/>
  <c r="B52" i="1"/>
  <c r="D408" i="2"/>
  <c r="D409" i="2" s="1"/>
  <c r="D417" i="2"/>
  <c r="E48" i="1" s="1"/>
  <c r="F48" i="1"/>
  <c r="F371" i="2" l="1"/>
  <c r="D372" i="2"/>
  <c r="D373" i="2" s="1"/>
  <c r="F373" i="2" s="1"/>
  <c r="D410" i="2"/>
  <c r="D411" i="2" s="1"/>
  <c r="F411" i="2" s="1"/>
  <c r="G48" i="1"/>
  <c r="D428" i="2"/>
  <c r="D429" i="2" s="1"/>
  <c r="D437" i="2"/>
  <c r="E49" i="1" s="1"/>
  <c r="F49" i="1"/>
  <c r="D460" i="2"/>
  <c r="D462" i="2" s="1"/>
  <c r="D463" i="2" s="1"/>
  <c r="D464" i="2" s="1"/>
  <c r="D390" i="2"/>
  <c r="D391" i="2" s="1"/>
  <c r="F391" i="2" s="1"/>
  <c r="G47" i="1"/>
  <c r="B53" i="1"/>
  <c r="C52" i="1"/>
  <c r="D478" i="2" s="1"/>
  <c r="D479" i="2" s="1"/>
  <c r="D441" i="2"/>
  <c r="D374" i="2"/>
  <c r="D375" i="2" s="1"/>
  <c r="D445" i="2"/>
  <c r="D446" i="2" s="1"/>
  <c r="D354" i="2"/>
  <c r="D355" i="2" s="1"/>
  <c r="F375" i="2" l="1"/>
  <c r="F355" i="2"/>
  <c r="D461" i="2"/>
  <c r="D465" i="2"/>
  <c r="D466" i="2" s="1"/>
  <c r="D467" i="2" s="1"/>
  <c r="D476" i="2" s="1"/>
  <c r="D392" i="2"/>
  <c r="D480" i="2"/>
  <c r="D482" i="2" s="1"/>
  <c r="D483" i="2" s="1"/>
  <c r="D484" i="2" s="1"/>
  <c r="D430" i="2"/>
  <c r="G49" i="1"/>
  <c r="D447" i="2"/>
  <c r="D456" i="2" s="1"/>
  <c r="C53" i="1"/>
  <c r="D498" i="2" s="1"/>
  <c r="D499" i="2" s="1"/>
  <c r="B54" i="1"/>
  <c r="D412" i="2"/>
  <c r="D413" i="2" s="1"/>
  <c r="F413" i="2" s="1"/>
  <c r="D485" i="2" l="1"/>
  <c r="D486" i="2" s="1"/>
  <c r="D487" i="2" s="1"/>
  <c r="D496" i="2" s="1"/>
  <c r="D431" i="2"/>
  <c r="D500" i="2"/>
  <c r="D501" i="2" s="1"/>
  <c r="D468" i="2"/>
  <c r="D469" i="2" s="1"/>
  <c r="D481" i="2"/>
  <c r="D477" i="2"/>
  <c r="E51" i="1" s="1"/>
  <c r="F51" i="1"/>
  <c r="D414" i="2"/>
  <c r="D415" i="2" s="1"/>
  <c r="B55" i="1"/>
  <c r="C54" i="1"/>
  <c r="D518" i="2" s="1"/>
  <c r="D519" i="2" s="1"/>
  <c r="D393" i="2"/>
  <c r="D457" i="2"/>
  <c r="E50" i="1" s="1"/>
  <c r="F50" i="1"/>
  <c r="D448" i="2"/>
  <c r="D449" i="2" s="1"/>
  <c r="F393" i="2" l="1"/>
  <c r="F415" i="2"/>
  <c r="F431" i="2"/>
  <c r="D432" i="2"/>
  <c r="D433" i="2" s="1"/>
  <c r="D470" i="2"/>
  <c r="D471" i="2" s="1"/>
  <c r="F471" i="2" s="1"/>
  <c r="G51" i="1"/>
  <c r="D394" i="2"/>
  <c r="D395" i="2" s="1"/>
  <c r="D520" i="2"/>
  <c r="D522" i="2" s="1"/>
  <c r="D523" i="2" s="1"/>
  <c r="D524" i="2" s="1"/>
  <c r="D502" i="2"/>
  <c r="D503" i="2" s="1"/>
  <c r="D504" i="2" s="1"/>
  <c r="C55" i="1"/>
  <c r="D538" i="2" s="1"/>
  <c r="D539" i="2" s="1"/>
  <c r="B56" i="1"/>
  <c r="D450" i="2"/>
  <c r="D451" i="2" s="1"/>
  <c r="F451" i="2" s="1"/>
  <c r="G50" i="1"/>
  <c r="D488" i="2"/>
  <c r="D489" i="2" s="1"/>
  <c r="D497" i="2"/>
  <c r="E52" i="1" s="1"/>
  <c r="F52" i="1"/>
  <c r="F433" i="2" l="1"/>
  <c r="F395" i="2"/>
  <c r="D434" i="2"/>
  <c r="D435" i="2" s="1"/>
  <c r="D521" i="2"/>
  <c r="D505" i="2"/>
  <c r="D506" i="2" s="1"/>
  <c r="D507" i="2" s="1"/>
  <c r="D516" i="2" s="1"/>
  <c r="D490" i="2"/>
  <c r="D491" i="2" s="1"/>
  <c r="F491" i="2" s="1"/>
  <c r="G52" i="1"/>
  <c r="D525" i="2"/>
  <c r="D526" i="2" s="1"/>
  <c r="D527" i="2" s="1"/>
  <c r="D452" i="2"/>
  <c r="D453" i="2" s="1"/>
  <c r="F453" i="2" s="1"/>
  <c r="B57" i="1"/>
  <c r="C56" i="1"/>
  <c r="D558" i="2" s="1"/>
  <c r="D559" i="2" s="1"/>
  <c r="D540" i="2"/>
  <c r="D472" i="2"/>
  <c r="D473" i="2" s="1"/>
  <c r="F473" i="2" s="1"/>
  <c r="F435" i="2" l="1"/>
  <c r="D536" i="2"/>
  <c r="D528" i="2"/>
  <c r="D529" i="2" s="1"/>
  <c r="D517" i="2"/>
  <c r="E53" i="1" s="1"/>
  <c r="F53" i="1"/>
  <c r="D542" i="2"/>
  <c r="D543" i="2" s="1"/>
  <c r="D544" i="2" s="1"/>
  <c r="D492" i="2"/>
  <c r="D493" i="2" s="1"/>
  <c r="F493" i="2" s="1"/>
  <c r="D560" i="2"/>
  <c r="D562" i="2" s="1"/>
  <c r="D563" i="2" s="1"/>
  <c r="D564" i="2" s="1"/>
  <c r="C57" i="1"/>
  <c r="D578" i="2" s="1"/>
  <c r="D579" i="2" s="1"/>
  <c r="B58" i="1"/>
  <c r="D508" i="2"/>
  <c r="D509" i="2" s="1"/>
  <c r="D474" i="2"/>
  <c r="D475" i="2" s="1"/>
  <c r="D541" i="2"/>
  <c r="D454" i="2"/>
  <c r="D455" i="2" s="1"/>
  <c r="F475" i="2" l="1"/>
  <c r="F455" i="2"/>
  <c r="D561" i="2"/>
  <c r="D545" i="2"/>
  <c r="D546" i="2" s="1"/>
  <c r="D547" i="2" s="1"/>
  <c r="D510" i="2"/>
  <c r="G53" i="1"/>
  <c r="D494" i="2"/>
  <c r="D495" i="2" s="1"/>
  <c r="B59" i="1"/>
  <c r="C58" i="1"/>
  <c r="D598" i="2" s="1"/>
  <c r="D599" i="2" s="1"/>
  <c r="D580" i="2"/>
  <c r="D582" i="2" s="1"/>
  <c r="D583" i="2" s="1"/>
  <c r="D584" i="2" s="1"/>
  <c r="D530" i="2"/>
  <c r="D531" i="2" s="1"/>
  <c r="F531" i="2" s="1"/>
  <c r="G54" i="1"/>
  <c r="D565" i="2"/>
  <c r="D566" i="2" s="1"/>
  <c r="D567" i="2" s="1"/>
  <c r="D576" i="2" s="1"/>
  <c r="D537" i="2"/>
  <c r="E54" i="1" s="1"/>
  <c r="F54" i="1"/>
  <c r="F495" i="2" l="1"/>
  <c r="D581" i="2"/>
  <c r="D556" i="2"/>
  <c r="D548" i="2"/>
  <c r="D577" i="2"/>
  <c r="E56" i="1" s="1"/>
  <c r="F56" i="1"/>
  <c r="D532" i="2"/>
  <c r="D533" i="2" s="1"/>
  <c r="F533" i="2" s="1"/>
  <c r="D511" i="2"/>
  <c r="C59" i="1"/>
  <c r="D618" i="2" s="1"/>
  <c r="D619" i="2" s="1"/>
  <c r="B60" i="1"/>
  <c r="C60" i="1" s="1"/>
  <c r="D638" i="2" s="1"/>
  <c r="D639" i="2" s="1"/>
  <c r="D640" i="2" s="1"/>
  <c r="D568" i="2"/>
  <c r="D569" i="2" s="1"/>
  <c r="D585" i="2"/>
  <c r="D586" i="2" s="1"/>
  <c r="D587" i="2" s="1"/>
  <c r="D596" i="2" s="1"/>
  <c r="D600" i="2"/>
  <c r="D602" i="2" s="1"/>
  <c r="D603" i="2" s="1"/>
  <c r="D604" i="2" s="1"/>
  <c r="F511" i="2" l="1"/>
  <c r="D605" i="2"/>
  <c r="D606" i="2" s="1"/>
  <c r="D607" i="2" s="1"/>
  <c r="D616" i="2" s="1"/>
  <c r="D601" i="2"/>
  <c r="D534" i="2"/>
  <c r="D535" i="2" s="1"/>
  <c r="D597" i="2"/>
  <c r="E57" i="1" s="1"/>
  <c r="F57" i="1"/>
  <c r="D512" i="2"/>
  <c r="D513" i="2" s="1"/>
  <c r="F513" i="2" s="1"/>
  <c r="D570" i="2"/>
  <c r="D571" i="2" s="1"/>
  <c r="F571" i="2" s="1"/>
  <c r="G56" i="1"/>
  <c r="D641" i="2"/>
  <c r="D642" i="2"/>
  <c r="D643" i="2" s="1"/>
  <c r="D644" i="2" s="1"/>
  <c r="D549" i="2"/>
  <c r="G55" i="1" s="1"/>
  <c r="D588" i="2"/>
  <c r="D589" i="2" s="1"/>
  <c r="D620" i="2"/>
  <c r="D557" i="2"/>
  <c r="E55" i="1" s="1"/>
  <c r="F55" i="1"/>
  <c r="F535" i="2" l="1"/>
  <c r="D514" i="2"/>
  <c r="D515" i="2" s="1"/>
  <c r="D590" i="2"/>
  <c r="D591" i="2" s="1"/>
  <c r="F591" i="2" s="1"/>
  <c r="G57" i="1"/>
  <c r="D645" i="2"/>
  <c r="D646" i="2" s="1"/>
  <c r="D647" i="2" s="1"/>
  <c r="D656" i="2" s="1"/>
  <c r="D622" i="2"/>
  <c r="D623" i="2" s="1"/>
  <c r="D624" i="2" s="1"/>
  <c r="D550" i="2"/>
  <c r="D551" i="2" s="1"/>
  <c r="F551" i="2" s="1"/>
  <c r="D608" i="2"/>
  <c r="D609" i="2" s="1"/>
  <c r="D621" i="2"/>
  <c r="D572" i="2"/>
  <c r="D573" i="2" s="1"/>
  <c r="F573" i="2" s="1"/>
  <c r="D617" i="2"/>
  <c r="E58" i="1" s="1"/>
  <c r="F58" i="1"/>
  <c r="F515" i="2" l="1"/>
  <c r="D625" i="2"/>
  <c r="D626" i="2" s="1"/>
  <c r="D627" i="2" s="1"/>
  <c r="D636" i="2" s="1"/>
  <c r="D657" i="2"/>
  <c r="E60" i="1" s="1"/>
  <c r="F60" i="1"/>
  <c r="D648" i="2"/>
  <c r="D649" i="2" s="1"/>
  <c r="D574" i="2"/>
  <c r="D575" i="2" s="1"/>
  <c r="D592" i="2"/>
  <c r="D593" i="2" s="1"/>
  <c r="F593" i="2" s="1"/>
  <c r="D610" i="2"/>
  <c r="D611" i="2" s="1"/>
  <c r="F611" i="2" s="1"/>
  <c r="G58" i="1"/>
  <c r="D552" i="2"/>
  <c r="D553" i="2" s="1"/>
  <c r="F553" i="2" s="1"/>
  <c r="F575" i="2" l="1"/>
  <c r="D637" i="2"/>
  <c r="E59" i="1" s="1"/>
  <c r="F59" i="1"/>
  <c r="D554" i="2"/>
  <c r="D555" i="2" s="1"/>
  <c r="D612" i="2"/>
  <c r="D613" i="2" s="1"/>
  <c r="F613" i="2" s="1"/>
  <c r="D628" i="2"/>
  <c r="D629" i="2" s="1"/>
  <c r="D650" i="2"/>
  <c r="D651" i="2" s="1"/>
  <c r="F651" i="2" s="1"/>
  <c r="G60" i="1"/>
  <c r="D594" i="2"/>
  <c r="D595" i="2" s="1"/>
  <c r="F595" i="2" l="1"/>
  <c r="F555" i="2"/>
  <c r="D652" i="2"/>
  <c r="D630" i="2"/>
  <c r="D631" i="2" s="1"/>
  <c r="F631" i="2" s="1"/>
  <c r="G59" i="1"/>
  <c r="D614" i="2"/>
  <c r="D615" i="2" s="1"/>
  <c r="F615" i="2" l="1"/>
  <c r="D653" i="2"/>
  <c r="D632" i="2"/>
  <c r="D633" i="2" s="1"/>
  <c r="F633" i="2" s="1"/>
  <c r="F653" i="2" l="1"/>
  <c r="D654" i="2"/>
  <c r="D655" i="2" s="1"/>
  <c r="D634" i="2"/>
  <c r="D635" i="2" s="1"/>
  <c r="F635" i="2" l="1"/>
  <c r="F655" i="2"/>
</calcChain>
</file>

<file path=xl/sharedStrings.xml><?xml version="1.0" encoding="utf-8"?>
<sst xmlns="http://schemas.openxmlformats.org/spreadsheetml/2006/main" count="1177" uniqueCount="116">
  <si>
    <t>Julianischer Tag</t>
  </si>
  <si>
    <t>Eingabewerte:</t>
  </si>
  <si>
    <t>Jahr</t>
  </si>
  <si>
    <t>Monat</t>
  </si>
  <si>
    <t>Tag</t>
  </si>
  <si>
    <t>Hilfswert B</t>
  </si>
  <si>
    <t>Zeitpunkt:</t>
  </si>
  <si>
    <t>Tag dezimal</t>
  </si>
  <si>
    <t>Tagesnummer des 15.10.1582</t>
  </si>
  <si>
    <t>Tagesnummer des Eingabedatums</t>
  </si>
  <si>
    <t>Hilfswert A</t>
  </si>
  <si>
    <t>T</t>
  </si>
  <si>
    <t>t</t>
  </si>
  <si>
    <t>Minuten</t>
  </si>
  <si>
    <t>Stunden</t>
  </si>
  <si>
    <t>Sekunden</t>
  </si>
  <si>
    <t>Korrektur Y</t>
  </si>
  <si>
    <t>Korrektur M</t>
  </si>
  <si>
    <t>Link</t>
  </si>
  <si>
    <t>Korrektur JD</t>
  </si>
  <si>
    <t>Hilfswert Z</t>
  </si>
  <si>
    <t>Modifizierter Julianischer Tag</t>
  </si>
  <si>
    <t>Hilfswert F</t>
  </si>
  <si>
    <t>Hilfswert a</t>
  </si>
  <si>
    <t>Hilfswert C</t>
  </si>
  <si>
    <t>Hilfswert D</t>
  </si>
  <si>
    <t>Hilfswert E</t>
  </si>
  <si>
    <t>Tag des Monats dezimal</t>
  </si>
  <si>
    <t>Hilfswert T</t>
  </si>
  <si>
    <t>Hilfswert t</t>
  </si>
  <si>
    <t>Rest</t>
  </si>
  <si>
    <t>Wochentag</t>
  </si>
  <si>
    <t>Berechnungen:</t>
  </si>
  <si>
    <t>Kalenderdatum aus JD:</t>
  </si>
  <si>
    <t>DD</t>
  </si>
  <si>
    <t>MM</t>
  </si>
  <si>
    <t>Julianischer Tag JD:</t>
  </si>
  <si>
    <t>UT</t>
  </si>
  <si>
    <t>JD (UT)</t>
  </si>
  <si>
    <t>MJD (UT)</t>
  </si>
  <si>
    <t>Anzahl Tage nach 01.Jan. -4712, 12 Uhr UT</t>
  </si>
  <si>
    <t>Anzahl Jahrhunderte nach 1.1.2000, 12 Uhr UT</t>
  </si>
  <si>
    <t>Anzahl Jahrtausende nach 1.1.2000, 12 Uhr UT</t>
  </si>
  <si>
    <t>Anzahl Tage nach 17. Nov. 1858, 0 Uhr UT</t>
  </si>
  <si>
    <t>d</t>
  </si>
  <si>
    <t>www.variables.ch</t>
  </si>
  <si>
    <t>Time of Minimum for:</t>
  </si>
  <si>
    <t>RZ Cas</t>
  </si>
  <si>
    <t>RA:</t>
  </si>
  <si>
    <t>DE:</t>
  </si>
  <si>
    <t>+69° 38' 03"</t>
  </si>
  <si>
    <t>Maximum:</t>
  </si>
  <si>
    <t>Primary Minimum:</t>
  </si>
  <si>
    <t>Secondary Minimum:</t>
  </si>
  <si>
    <t>Apparent visual brightness:</t>
  </si>
  <si>
    <t>JD</t>
  </si>
  <si>
    <t>Period:</t>
  </si>
  <si>
    <t>Start date (UT):</t>
  </si>
  <si>
    <t>hh</t>
  </si>
  <si>
    <t>min</t>
  </si>
  <si>
    <t>sec</t>
  </si>
  <si>
    <t>YYYY</t>
  </si>
  <si>
    <t>02h 48m 55.5s</t>
  </si>
  <si>
    <t>Close binary eclipsing system</t>
  </si>
  <si>
    <t>Corresponding Julian Date:</t>
  </si>
  <si>
    <t>Epoch:</t>
  </si>
  <si>
    <t>no.</t>
  </si>
  <si>
    <t>Tag des Monats Ganzzahl</t>
  </si>
  <si>
    <t>Stunde dezimal</t>
  </si>
  <si>
    <t>Stunde Ganzzahl</t>
  </si>
  <si>
    <t>Minute dezimal</t>
  </si>
  <si>
    <t>Minute Ganzzahl</t>
  </si>
  <si>
    <t>Sekunde dezimal</t>
  </si>
  <si>
    <t>Sekunde gerundet</t>
  </si>
  <si>
    <r>
      <t>Link Epoch</t>
    </r>
    <r>
      <rPr>
        <vertAlign val="subscript"/>
        <sz val="10"/>
        <rFont val="Arial"/>
        <family val="2"/>
      </rPr>
      <t>0</t>
    </r>
  </si>
  <si>
    <t>Link Epoche 1</t>
  </si>
  <si>
    <r>
      <t>Epoch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(Minimum):</t>
    </r>
  </si>
  <si>
    <t>Link Epoche 2</t>
  </si>
  <si>
    <t>Link Epoche 3</t>
  </si>
  <si>
    <t>Link Epoche 4</t>
  </si>
  <si>
    <t>Link Epoche 5</t>
  </si>
  <si>
    <t>Link Epoche 6</t>
  </si>
  <si>
    <t>Link Epoche 7</t>
  </si>
  <si>
    <t>Link Epoche 8</t>
  </si>
  <si>
    <t>Link Epoche 9</t>
  </si>
  <si>
    <t>Link Epoche 10</t>
  </si>
  <si>
    <t>Link Epoche 11</t>
  </si>
  <si>
    <t>Link Epoche 12</t>
  </si>
  <si>
    <t>Link Epoche 13</t>
  </si>
  <si>
    <t>Link Epoche 14</t>
  </si>
  <si>
    <t>Link Epoche 15</t>
  </si>
  <si>
    <t>Link Epoche 16</t>
  </si>
  <si>
    <t>Link Epoche 17</t>
  </si>
  <si>
    <t>Link Epoche 18</t>
  </si>
  <si>
    <t>Link Epoche 19</t>
  </si>
  <si>
    <t>Link Epoche 20</t>
  </si>
  <si>
    <t>Link Epoche 21</t>
  </si>
  <si>
    <t>Link Epoche 22</t>
  </si>
  <si>
    <t>Link Epoche 23</t>
  </si>
  <si>
    <t>Link Epoche 24</t>
  </si>
  <si>
    <t>Link Epoche 25</t>
  </si>
  <si>
    <t>Link Epoche 26</t>
  </si>
  <si>
    <t>Link Epoche 27</t>
  </si>
  <si>
    <t>Link Epoche 28</t>
  </si>
  <si>
    <t>Link Epoche 29</t>
  </si>
  <si>
    <t>Link Epoche 30</t>
  </si>
  <si>
    <t>Date and Time of Minimum (UT):</t>
  </si>
  <si>
    <t>Julian Date:</t>
  </si>
  <si>
    <t>Variability type:</t>
  </si>
  <si>
    <t>mag V</t>
  </si>
  <si>
    <t>Coordinates  J2000.0:</t>
  </si>
  <si>
    <t>Duration:</t>
  </si>
  <si>
    <t>vorangestellte "0"</t>
  </si>
  <si>
    <t>4.9 h</t>
  </si>
  <si>
    <t>Ver. 25.01.2018 / JS</t>
  </si>
  <si>
    <t>= Minimum between 20:00 and 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</si>
</sst>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000000"/>
    <numFmt numFmtId="165" formatCode="0.000000"/>
    <numFmt numFmtId="166" formatCode="0.000000000000000000000000000000"/>
    <numFmt numFmtId="167" formatCode="0.0000"/>
    <numFmt numFmtId="168" formatCode="0.000"/>
    <numFmt numFmtId="169" formatCode="0.00000"/>
  </numFmts>
  <fonts count="16" x14ac:knownFonts="1">
    <font>
      <sz val="10"/>
      <name val="Arial"/>
    </font>
    <font>
      <u/>
      <sz val="10"/>
      <color indexed="12"/>
      <name val="Arial"/>
    </font>
    <font>
      <b/>
      <sz val="10"/>
      <color indexed="4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1"/>
      <color indexed="8"/>
      <name val="Calibri"/>
      <family val="2"/>
    </font>
    <font>
      <sz val="10"/>
      <color indexed="57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3366FF"/>
      <name val="Arial"/>
      <family val="2"/>
    </font>
    <font>
      <b/>
      <u/>
      <sz val="10"/>
      <color indexed="8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" fontId="0" fillId="0" borderId="0" xfId="0" applyNumberFormat="1"/>
    <xf numFmtId="0" fontId="5" fillId="0" borderId="0" xfId="0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6" fillId="0" borderId="0" xfId="0" applyFont="1"/>
    <xf numFmtId="168" fontId="0" fillId="0" borderId="0" xfId="0" applyNumberFormat="1"/>
    <xf numFmtId="1" fontId="6" fillId="0" borderId="0" xfId="0" applyNumberFormat="1" applyFont="1"/>
    <xf numFmtId="165" fontId="6" fillId="0" borderId="0" xfId="0" applyNumberFormat="1" applyFon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1" applyFont="1" applyAlignment="1" applyProtection="1">
      <alignment horizontal="right"/>
    </xf>
    <xf numFmtId="0" fontId="10" fillId="0" borderId="0" xfId="0" applyFont="1"/>
    <xf numFmtId="165" fontId="11" fillId="0" borderId="0" xfId="2" applyNumberFormat="1" applyFont="1"/>
    <xf numFmtId="0" fontId="6" fillId="0" borderId="0" xfId="1" applyFont="1" applyAlignment="1" applyProtection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3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/>
    <xf numFmtId="49" fontId="12" fillId="0" borderId="0" xfId="0" applyNumberFormat="1" applyFont="1" applyFill="1" applyBorder="1" applyAlignment="1">
      <alignment horizontal="left"/>
    </xf>
    <xf numFmtId="49" fontId="6" fillId="0" borderId="0" xfId="1" applyNumberFormat="1" applyFont="1" applyAlignment="1" applyProtection="1">
      <alignment horizontal="left"/>
    </xf>
    <xf numFmtId="165" fontId="13" fillId="0" borderId="0" xfId="2" applyNumberFormat="1" applyFont="1"/>
    <xf numFmtId="167" fontId="12" fillId="0" borderId="0" xfId="0" applyNumberFormat="1" applyFont="1" applyFill="1" applyBorder="1" applyAlignment="1">
      <alignment horizontal="left"/>
    </xf>
    <xf numFmtId="167" fontId="0" fillId="0" borderId="0" xfId="0" applyNumberFormat="1" applyAlignment="1">
      <alignment horizontal="left"/>
    </xf>
    <xf numFmtId="1" fontId="6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/>
    <xf numFmtId="165" fontId="6" fillId="0" borderId="1" xfId="0" applyNumberFormat="1" applyFont="1" applyBorder="1"/>
    <xf numFmtId="0" fontId="6" fillId="0" borderId="1" xfId="0" applyFont="1" applyBorder="1"/>
    <xf numFmtId="165" fontId="14" fillId="0" borderId="0" xfId="2" applyNumberFormat="1" applyFont="1" applyAlignment="1">
      <alignment horizontal="right"/>
    </xf>
    <xf numFmtId="169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NumberFormat="1" applyFont="1" applyAlignment="1">
      <alignment horizontal="right"/>
    </xf>
    <xf numFmtId="49" fontId="0" fillId="0" borderId="0" xfId="0" applyNumberFormat="1" applyProtection="1"/>
    <xf numFmtId="1" fontId="15" fillId="0" borderId="0" xfId="0" applyNumberFormat="1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49" fontId="6" fillId="0" borderId="1" xfId="0" quotePrefix="1" applyNumberFormat="1" applyFont="1" applyBorder="1"/>
  </cellXfs>
  <cellStyles count="3">
    <cellStyle name="Link" xfId="1" builtinId="8"/>
    <cellStyle name="Standard" xfId="0" builtinId="0"/>
    <cellStyle name="Standard_times_of_minimum_Summer" xfId="2" xr:uid="{00000000-0005-0000-0000-000002000000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4F9D33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628650</xdr:colOff>
      <xdr:row>4</xdr:row>
      <xdr:rowOff>109851</xdr:rowOff>
    </xdr:to>
    <xdr:pic>
      <xdr:nvPicPr>
        <xdr:cNvPr id="2" name="Picture 3" descr="D:\Veränderliche\Homepage\images\header.jpg">
          <a:extLst>
            <a:ext uri="{FF2B5EF4-FFF2-40B4-BE49-F238E27FC236}">
              <a16:creationId xmlns:a16="http://schemas.microsoft.com/office/drawing/2014/main" id="{A5E9A053-0A48-4330-8316-8D45C3CC8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81700" cy="757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ariables.c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1"/>
  <sheetViews>
    <sheetView tabSelected="1" workbookViewId="0">
      <selection activeCell="J9" sqref="J9"/>
    </sheetView>
  </sheetViews>
  <sheetFormatPr baseColWidth="10" defaultRowHeight="12.75" x14ac:dyDescent="0.2"/>
  <cols>
    <col min="1" max="1" width="3.28515625" customWidth="1"/>
    <col min="2" max="2" width="7.42578125" customWidth="1"/>
    <col min="3" max="3" width="15.140625" customWidth="1"/>
    <col min="4" max="4" width="2.28515625" customWidth="1"/>
    <col min="5" max="5" width="13.28515625" customWidth="1"/>
    <col min="6" max="10" width="9.7109375" customWidth="1"/>
    <col min="11" max="11" width="2.5703125" customWidth="1"/>
    <col min="13" max="13" width="11.140625" customWidth="1"/>
    <col min="15" max="15" width="14.42578125" customWidth="1"/>
  </cols>
  <sheetData>
    <row r="1" spans="1:16" x14ac:dyDescent="0.2">
      <c r="D1" s="18"/>
      <c r="E1" s="18"/>
      <c r="F1" s="18"/>
      <c r="G1" s="18"/>
      <c r="H1" s="19"/>
      <c r="K1" s="18"/>
      <c r="L1" s="18"/>
      <c r="M1" s="18"/>
      <c r="N1" s="18"/>
      <c r="O1" s="18"/>
      <c r="P1" s="19"/>
    </row>
    <row r="2" spans="1:16" x14ac:dyDescent="0.2">
      <c r="D2" s="18"/>
      <c r="E2" s="18"/>
      <c r="F2" s="18"/>
      <c r="G2" s="18"/>
      <c r="H2" s="19"/>
      <c r="K2" s="18"/>
      <c r="L2" s="18"/>
      <c r="M2" s="18"/>
      <c r="N2" s="18"/>
      <c r="O2" s="18"/>
      <c r="P2" s="19"/>
    </row>
    <row r="3" spans="1:16" x14ac:dyDescent="0.2">
      <c r="D3" s="18"/>
      <c r="E3" s="18"/>
      <c r="F3" s="18"/>
      <c r="G3" s="18"/>
      <c r="H3" s="19"/>
      <c r="K3" s="18"/>
      <c r="L3" s="18"/>
      <c r="M3" s="18"/>
      <c r="N3" s="18"/>
      <c r="O3" s="18"/>
      <c r="P3" s="19"/>
    </row>
    <row r="4" spans="1:16" x14ac:dyDescent="0.2">
      <c r="D4" s="18"/>
      <c r="E4" s="18"/>
      <c r="F4" s="18"/>
      <c r="G4" s="18"/>
      <c r="H4" s="19"/>
      <c r="K4" s="18"/>
      <c r="L4" s="18"/>
      <c r="M4" s="18"/>
      <c r="N4" s="18"/>
      <c r="O4" s="18"/>
      <c r="P4" s="19"/>
    </row>
    <row r="5" spans="1:16" x14ac:dyDescent="0.2">
      <c r="D5" s="18"/>
      <c r="E5" s="18"/>
      <c r="F5" s="18"/>
      <c r="G5" s="18"/>
      <c r="H5" s="19"/>
      <c r="K5" s="18"/>
      <c r="L5" s="18"/>
      <c r="M5" s="18"/>
      <c r="N5" s="18"/>
      <c r="O5" s="18"/>
      <c r="P5" s="19"/>
    </row>
    <row r="6" spans="1:16" x14ac:dyDescent="0.2">
      <c r="F6" s="20"/>
      <c r="G6" s="18"/>
      <c r="J6" s="20" t="s">
        <v>45</v>
      </c>
      <c r="K6" s="16"/>
      <c r="L6" s="16"/>
      <c r="M6" s="18"/>
      <c r="N6" s="18"/>
      <c r="O6" s="18"/>
      <c r="P6" s="20"/>
    </row>
    <row r="7" spans="1:16" ht="15.75" x14ac:dyDescent="0.25">
      <c r="A7" s="21"/>
      <c r="B7" s="39" t="s">
        <v>46</v>
      </c>
      <c r="C7" s="18"/>
      <c r="D7" s="18"/>
      <c r="E7" s="15" t="s">
        <v>47</v>
      </c>
      <c r="G7" s="18"/>
      <c r="H7" s="38"/>
      <c r="I7" s="21"/>
      <c r="J7" s="53" t="s">
        <v>114</v>
      </c>
      <c r="K7" s="13"/>
      <c r="L7" s="13"/>
      <c r="M7" s="14"/>
      <c r="N7" s="13"/>
      <c r="O7" s="18"/>
      <c r="P7" s="23"/>
    </row>
    <row r="8" spans="1:16" ht="8.25" customHeight="1" x14ac:dyDescent="0.25">
      <c r="A8" s="21"/>
      <c r="B8" s="22"/>
      <c r="C8" s="18"/>
      <c r="D8" s="18"/>
      <c r="F8" s="15"/>
      <c r="G8" s="18"/>
      <c r="H8" s="38"/>
      <c r="I8" s="21"/>
      <c r="J8" s="22"/>
      <c r="K8" s="13"/>
      <c r="L8" s="13"/>
      <c r="M8" s="14"/>
      <c r="N8" s="13"/>
      <c r="O8" s="18"/>
      <c r="P8" s="23"/>
    </row>
    <row r="9" spans="1:16" ht="15.75" x14ac:dyDescent="0.25">
      <c r="A9" s="21"/>
      <c r="B9" s="22" t="s">
        <v>108</v>
      </c>
      <c r="C9" s="18"/>
      <c r="D9" s="18"/>
      <c r="E9" s="17" t="s">
        <v>63</v>
      </c>
      <c r="F9" s="18"/>
      <c r="G9" s="38"/>
      <c r="H9" s="21"/>
      <c r="I9" s="21"/>
      <c r="J9" s="22"/>
      <c r="K9" s="13"/>
      <c r="L9" s="13"/>
      <c r="M9" s="14"/>
      <c r="N9" s="13"/>
      <c r="O9" s="18"/>
      <c r="P9" s="23"/>
    </row>
    <row r="10" spans="1:16" ht="8.25" customHeight="1" x14ac:dyDescent="0.2">
      <c r="D10" s="18"/>
      <c r="E10" s="18"/>
      <c r="F10" s="18"/>
      <c r="G10" s="20"/>
      <c r="K10" s="18"/>
      <c r="L10" s="18"/>
      <c r="M10" s="18"/>
      <c r="N10" s="18"/>
      <c r="O10" s="18"/>
      <c r="P10" s="20"/>
    </row>
    <row r="11" spans="1:16" x14ac:dyDescent="0.2">
      <c r="B11" s="9" t="s">
        <v>110</v>
      </c>
      <c r="D11" s="16"/>
      <c r="E11" s="17" t="s">
        <v>48</v>
      </c>
      <c r="G11" s="30" t="s">
        <v>62</v>
      </c>
      <c r="K11" s="16"/>
      <c r="L11" s="16"/>
      <c r="M11" s="18"/>
      <c r="N11" s="18"/>
      <c r="O11" s="18"/>
      <c r="P11" s="19"/>
    </row>
    <row r="12" spans="1:16" x14ac:dyDescent="0.2">
      <c r="B12" s="9"/>
      <c r="D12" s="16"/>
      <c r="E12" s="25" t="s">
        <v>49</v>
      </c>
      <c r="G12" s="31" t="s">
        <v>50</v>
      </c>
      <c r="H12" s="27"/>
      <c r="I12" s="27"/>
      <c r="K12" s="16"/>
      <c r="L12" s="16"/>
      <c r="M12" s="18"/>
      <c r="N12" s="18"/>
      <c r="O12" s="18"/>
      <c r="P12" s="19"/>
    </row>
    <row r="13" spans="1:16" ht="8.25" customHeight="1" x14ac:dyDescent="0.2">
      <c r="B13" s="9"/>
      <c r="D13" s="16"/>
      <c r="E13" s="25"/>
      <c r="G13" s="29"/>
      <c r="H13" s="27"/>
      <c r="I13" s="27"/>
      <c r="K13" s="16"/>
      <c r="L13" s="16"/>
      <c r="M13" s="18"/>
      <c r="N13" s="18"/>
      <c r="O13" s="18"/>
      <c r="P13" s="19"/>
    </row>
    <row r="14" spans="1:16" x14ac:dyDescent="0.2">
      <c r="B14" s="9" t="s">
        <v>54</v>
      </c>
      <c r="D14" s="16"/>
      <c r="E14" s="26" t="s">
        <v>51</v>
      </c>
      <c r="F14" s="24"/>
      <c r="G14" s="18">
        <v>6.18</v>
      </c>
      <c r="H14" s="29" t="s">
        <v>109</v>
      </c>
      <c r="I14" s="29"/>
      <c r="K14" s="16"/>
      <c r="L14" s="16"/>
      <c r="M14" s="18"/>
      <c r="N14" s="18"/>
      <c r="O14" s="18"/>
      <c r="P14" s="19"/>
    </row>
    <row r="15" spans="1:16" x14ac:dyDescent="0.2">
      <c r="E15" s="9" t="s">
        <v>52</v>
      </c>
      <c r="G15" s="18">
        <v>7.72</v>
      </c>
      <c r="H15" s="29" t="s">
        <v>109</v>
      </c>
      <c r="I15" s="29" t="s">
        <v>111</v>
      </c>
      <c r="J15" s="24" t="s">
        <v>113</v>
      </c>
    </row>
    <row r="16" spans="1:16" x14ac:dyDescent="0.2">
      <c r="E16" s="26" t="s">
        <v>53</v>
      </c>
      <c r="G16" s="18">
        <v>6.26</v>
      </c>
      <c r="H16" s="29" t="s">
        <v>109</v>
      </c>
      <c r="I16" s="29"/>
    </row>
    <row r="17" spans="2:15" ht="8.25" customHeight="1" x14ac:dyDescent="0.2">
      <c r="F17" s="26"/>
      <c r="H17" s="18"/>
      <c r="I17" s="27"/>
    </row>
    <row r="18" spans="2:15" ht="15.75" x14ac:dyDescent="0.3">
      <c r="B18" s="9" t="s">
        <v>76</v>
      </c>
      <c r="C18" s="9"/>
      <c r="E18" s="40">
        <v>2456529.7659999998</v>
      </c>
      <c r="F18" s="28" t="s">
        <v>55</v>
      </c>
      <c r="G18" s="24"/>
      <c r="I18" s="56" t="str">
        <f>'Calc.'!D49&amp;"."&amp;'Calc.'!D56&amp;"."&amp;'Calc.'!D57&amp;", "&amp;'Calc.'!F51&amp;":"&amp;'Calc.'!F53</f>
        <v>25.8.2013, 06:23</v>
      </c>
      <c r="J18" s="24" t="s">
        <v>37</v>
      </c>
      <c r="L18" s="40"/>
    </row>
    <row r="19" spans="2:15" ht="8.25" customHeight="1" x14ac:dyDescent="0.2">
      <c r="B19" s="9"/>
      <c r="F19" s="26"/>
      <c r="H19" s="37"/>
      <c r="I19" s="27"/>
    </row>
    <row r="20" spans="2:15" x14ac:dyDescent="0.2">
      <c r="B20" s="9" t="s">
        <v>56</v>
      </c>
      <c r="E20" s="37">
        <v>1.1952503000000001</v>
      </c>
      <c r="F20" s="28" t="s">
        <v>44</v>
      </c>
      <c r="G20" s="24"/>
      <c r="I20" s="29"/>
    </row>
    <row r="21" spans="2:15" x14ac:dyDescent="0.2">
      <c r="B21" s="32"/>
      <c r="C21" s="32"/>
      <c r="D21" s="32"/>
      <c r="E21" s="33"/>
      <c r="F21" s="33"/>
      <c r="G21" s="33"/>
      <c r="H21" s="33"/>
      <c r="I21" s="33"/>
      <c r="J21" s="33"/>
      <c r="K21" s="32"/>
      <c r="L21" s="9"/>
      <c r="M21" s="32"/>
      <c r="N21" s="32"/>
      <c r="O21" s="32"/>
    </row>
    <row r="22" spans="2:15" x14ac:dyDescent="0.2">
      <c r="B22" s="32"/>
      <c r="C22" s="32"/>
      <c r="D22" s="32"/>
      <c r="E22" s="46" t="s">
        <v>61</v>
      </c>
      <c r="F22" s="46" t="s">
        <v>35</v>
      </c>
      <c r="G22" s="46" t="s">
        <v>34</v>
      </c>
      <c r="H22" s="46" t="s">
        <v>58</v>
      </c>
      <c r="I22" s="46" t="s">
        <v>59</v>
      </c>
      <c r="J22" s="46" t="s">
        <v>60</v>
      </c>
      <c r="K22" s="32"/>
      <c r="L22" s="32"/>
      <c r="M22" s="32"/>
      <c r="O22" s="32"/>
    </row>
    <row r="23" spans="2:15" x14ac:dyDescent="0.2">
      <c r="B23" s="36" t="s">
        <v>57</v>
      </c>
      <c r="C23" s="34"/>
      <c r="D23" s="32"/>
      <c r="E23" s="47">
        <v>2018</v>
      </c>
      <c r="F23" s="47">
        <v>1</v>
      </c>
      <c r="G23" s="47">
        <v>1</v>
      </c>
      <c r="H23" s="47">
        <v>0</v>
      </c>
      <c r="I23" s="47">
        <v>0</v>
      </c>
      <c r="J23" s="48">
        <v>0</v>
      </c>
      <c r="K23" s="32"/>
      <c r="L23" s="32"/>
      <c r="M23" s="32"/>
      <c r="O23" s="32"/>
    </row>
    <row r="24" spans="2:15" ht="8.25" customHeight="1" x14ac:dyDescent="0.2">
      <c r="B24" s="32"/>
      <c r="C24" s="32"/>
      <c r="D24" s="32"/>
      <c r="E24" s="35"/>
      <c r="F24" s="35"/>
      <c r="G24" s="35"/>
      <c r="H24" s="32"/>
      <c r="I24" s="32"/>
      <c r="J24" s="32"/>
      <c r="K24" s="32"/>
      <c r="L24" s="32"/>
      <c r="M24" s="32"/>
      <c r="N24" s="32"/>
      <c r="O24" s="32"/>
    </row>
    <row r="25" spans="2:15" x14ac:dyDescent="0.2">
      <c r="B25" s="9" t="s">
        <v>64</v>
      </c>
      <c r="E25" s="41">
        <f>'Calc.'!D28</f>
        <v>2458119.5</v>
      </c>
      <c r="F25" s="24" t="s">
        <v>55</v>
      </c>
      <c r="G25" s="18"/>
    </row>
    <row r="26" spans="2:15" ht="8.25" customHeight="1" x14ac:dyDescent="0.2"/>
    <row r="27" spans="2:15" x14ac:dyDescent="0.2">
      <c r="B27" s="15" t="s">
        <v>65</v>
      </c>
      <c r="C27" s="55" t="s">
        <v>107</v>
      </c>
      <c r="E27" s="15" t="s">
        <v>106</v>
      </c>
    </row>
    <row r="28" spans="2:15" x14ac:dyDescent="0.2">
      <c r="B28" s="24" t="s">
        <v>66</v>
      </c>
      <c r="C28" s="24" t="s">
        <v>55</v>
      </c>
      <c r="E28" s="24" t="s">
        <v>61</v>
      </c>
      <c r="F28" s="24" t="s">
        <v>35</v>
      </c>
      <c r="G28" s="24" t="s">
        <v>34</v>
      </c>
      <c r="H28" s="24" t="s">
        <v>58</v>
      </c>
      <c r="I28" s="24" t="s">
        <v>59</v>
      </c>
      <c r="J28" s="24" t="s">
        <v>60</v>
      </c>
    </row>
    <row r="29" spans="2:15" ht="8.25" customHeight="1" x14ac:dyDescent="0.2"/>
    <row r="30" spans="2:15" ht="8.25" customHeight="1" x14ac:dyDescent="0.2">
      <c r="B30" s="50"/>
      <c r="C30" s="50"/>
      <c r="D30" s="50"/>
      <c r="E30" s="50"/>
      <c r="F30" s="50"/>
      <c r="G30" s="50"/>
      <c r="H30" s="50"/>
      <c r="I30" s="50"/>
      <c r="J30" s="50"/>
    </row>
    <row r="31" spans="2:15" x14ac:dyDescent="0.2">
      <c r="B31" s="45">
        <f>(INT(($E$25-$E$18)/$E$20))</f>
        <v>1330</v>
      </c>
      <c r="C31" s="54">
        <f t="shared" ref="C31:C60" si="0">$E$18+($E$20)*B31</f>
        <v>2458119.448899</v>
      </c>
      <c r="D31" s="19"/>
      <c r="E31" s="19">
        <f>'Calc.'!D77</f>
        <v>2017</v>
      </c>
      <c r="F31" s="19">
        <f>'Calc.'!D76</f>
        <v>12</v>
      </c>
      <c r="G31" s="44">
        <f>'Calc.'!D69</f>
        <v>31</v>
      </c>
      <c r="H31" s="58" t="str">
        <f>'Calc.'!F71</f>
        <v>22</v>
      </c>
      <c r="I31" s="44" t="str">
        <f>'Calc.'!F73</f>
        <v>46</v>
      </c>
      <c r="J31" s="44" t="str">
        <f>'Calc.'!F75</f>
        <v>25</v>
      </c>
      <c r="K31" s="57"/>
    </row>
    <row r="32" spans="2:15" x14ac:dyDescent="0.2">
      <c r="B32" s="42">
        <f>B31+1</f>
        <v>1331</v>
      </c>
      <c r="C32" s="43">
        <f t="shared" si="0"/>
        <v>2458120.6441492997</v>
      </c>
      <c r="D32" s="18"/>
      <c r="E32" s="18">
        <f>'Calc.'!D97</f>
        <v>2018</v>
      </c>
      <c r="F32" s="18">
        <f>'Calc.'!D96</f>
        <v>1</v>
      </c>
      <c r="G32" s="49">
        <f>'Calc.'!D89</f>
        <v>2</v>
      </c>
      <c r="H32" s="49" t="str">
        <f>'Calc.'!F91</f>
        <v>03</v>
      </c>
      <c r="I32" s="49" t="str">
        <f>'Calc.'!F93</f>
        <v>27</v>
      </c>
      <c r="J32" s="49" t="str">
        <f>'Calc.'!F95</f>
        <v>34</v>
      </c>
      <c r="K32" s="4"/>
    </row>
    <row r="33" spans="2:11" x14ac:dyDescent="0.2">
      <c r="B33" s="42">
        <f>B32+1</f>
        <v>1332</v>
      </c>
      <c r="C33" s="43">
        <f t="shared" si="0"/>
        <v>2458121.8393995999</v>
      </c>
      <c r="D33" s="18"/>
      <c r="E33" s="18">
        <f>'Calc.'!D117</f>
        <v>2018</v>
      </c>
      <c r="F33" s="18">
        <f>'Calc.'!D116</f>
        <v>1</v>
      </c>
      <c r="G33" s="49">
        <f>'Calc.'!D109</f>
        <v>3</v>
      </c>
      <c r="H33" s="49" t="str">
        <f>'Calc.'!F111</f>
        <v>08</v>
      </c>
      <c r="I33" s="49" t="str">
        <f>'Calc.'!F113</f>
        <v>08</v>
      </c>
      <c r="J33" s="49" t="str">
        <f>'Calc.'!F115</f>
        <v>44</v>
      </c>
      <c r="K33" s="4"/>
    </row>
    <row r="34" spans="2:11" x14ac:dyDescent="0.2">
      <c r="B34" s="42">
        <f t="shared" ref="B34:B40" si="1">B33+1</f>
        <v>1333</v>
      </c>
      <c r="C34" s="43">
        <f t="shared" si="0"/>
        <v>2458123.0346498997</v>
      </c>
      <c r="E34" s="18">
        <f>'Calc.'!D137</f>
        <v>2018</v>
      </c>
      <c r="F34" s="18">
        <f>'Calc.'!D136</f>
        <v>1</v>
      </c>
      <c r="G34" s="49">
        <f>'Calc.'!D129</f>
        <v>4</v>
      </c>
      <c r="H34" s="49" t="str">
        <f>'Calc.'!F131</f>
        <v>12</v>
      </c>
      <c r="I34" s="49" t="str">
        <f>'Calc.'!F133</f>
        <v>49</v>
      </c>
      <c r="J34" s="49" t="str">
        <f>'Calc.'!F135</f>
        <v>54</v>
      </c>
      <c r="K34" s="4"/>
    </row>
    <row r="35" spans="2:11" x14ac:dyDescent="0.2">
      <c r="B35" s="42">
        <f t="shared" si="1"/>
        <v>1334</v>
      </c>
      <c r="C35" s="43">
        <f t="shared" si="0"/>
        <v>2458124.2299001999</v>
      </c>
      <c r="E35" s="18">
        <f>'Calc.'!D157</f>
        <v>2018</v>
      </c>
      <c r="F35" s="18">
        <f>'Calc.'!D156</f>
        <v>1</v>
      </c>
      <c r="G35" s="49">
        <f>'Calc.'!D149</f>
        <v>5</v>
      </c>
      <c r="H35" s="49" t="str">
        <f>'Calc.'!F151</f>
        <v>17</v>
      </c>
      <c r="I35" s="49" t="str">
        <f>'Calc.'!F153</f>
        <v>31</v>
      </c>
      <c r="J35" s="49" t="str">
        <f>'Calc.'!F155</f>
        <v>03</v>
      </c>
      <c r="K35" s="4"/>
    </row>
    <row r="36" spans="2:11" x14ac:dyDescent="0.2">
      <c r="B36" s="42">
        <f t="shared" si="1"/>
        <v>1335</v>
      </c>
      <c r="C36" s="43">
        <f t="shared" si="0"/>
        <v>2458125.4251504997</v>
      </c>
      <c r="E36" s="18">
        <f>'Calc.'!D177</f>
        <v>2018</v>
      </c>
      <c r="F36" s="18">
        <f>'Calc.'!D176</f>
        <v>1</v>
      </c>
      <c r="G36" s="49">
        <f>'Calc.'!D169</f>
        <v>6</v>
      </c>
      <c r="H36" s="49" t="str">
        <f>'Calc.'!F171</f>
        <v>22</v>
      </c>
      <c r="I36" s="49" t="str">
        <f>'Calc.'!F173</f>
        <v>12</v>
      </c>
      <c r="J36" s="49" t="str">
        <f>'Calc.'!F175</f>
        <v>13</v>
      </c>
      <c r="K36" s="4"/>
    </row>
    <row r="37" spans="2:11" x14ac:dyDescent="0.2">
      <c r="B37" s="42">
        <f t="shared" si="1"/>
        <v>1336</v>
      </c>
      <c r="C37" s="43">
        <f t="shared" si="0"/>
        <v>2458126.6204007999</v>
      </c>
      <c r="E37" s="18">
        <f>'Calc.'!D197</f>
        <v>2018</v>
      </c>
      <c r="F37" s="18">
        <f>'Calc.'!D196</f>
        <v>1</v>
      </c>
      <c r="G37" s="49">
        <f>'Calc.'!D189</f>
        <v>8</v>
      </c>
      <c r="H37" s="49" t="str">
        <f>'Calc.'!F191</f>
        <v>02</v>
      </c>
      <c r="I37" s="49" t="str">
        <f>'Calc.'!F193</f>
        <v>53</v>
      </c>
      <c r="J37" s="49" t="str">
        <f>'Calc.'!F195</f>
        <v>23</v>
      </c>
      <c r="K37" s="4"/>
    </row>
    <row r="38" spans="2:11" x14ac:dyDescent="0.2">
      <c r="B38" s="42">
        <f t="shared" si="1"/>
        <v>1337</v>
      </c>
      <c r="C38" s="43">
        <f t="shared" si="0"/>
        <v>2458127.8156510997</v>
      </c>
      <c r="E38" s="18">
        <f>'Calc.'!D217</f>
        <v>2018</v>
      </c>
      <c r="F38" s="18">
        <f>'Calc.'!D216</f>
        <v>1</v>
      </c>
      <c r="G38" s="49">
        <f>'Calc.'!D209</f>
        <v>9</v>
      </c>
      <c r="H38" s="49" t="str">
        <f>'Calc.'!F211</f>
        <v>07</v>
      </c>
      <c r="I38" s="49" t="str">
        <f>'Calc.'!F213</f>
        <v>34</v>
      </c>
      <c r="J38" s="49" t="str">
        <f>'Calc.'!F215</f>
        <v>32</v>
      </c>
      <c r="K38" s="4"/>
    </row>
    <row r="39" spans="2:11" x14ac:dyDescent="0.2">
      <c r="B39" s="42">
        <f t="shared" si="1"/>
        <v>1338</v>
      </c>
      <c r="C39" s="43">
        <f t="shared" si="0"/>
        <v>2458129.0109013999</v>
      </c>
      <c r="E39" s="18">
        <f>'Calc.'!D237</f>
        <v>2018</v>
      </c>
      <c r="F39" s="18">
        <f>'Calc.'!D236</f>
        <v>1</v>
      </c>
      <c r="G39" s="49">
        <f>'Calc.'!D229</f>
        <v>10</v>
      </c>
      <c r="H39" s="49" t="str">
        <f>'Calc.'!F231</f>
        <v>12</v>
      </c>
      <c r="I39" s="49" t="str">
        <f>'Calc.'!F233</f>
        <v>15</v>
      </c>
      <c r="J39" s="49" t="str">
        <f>'Calc.'!F235</f>
        <v>42</v>
      </c>
      <c r="K39" s="4"/>
    </row>
    <row r="40" spans="2:11" x14ac:dyDescent="0.2">
      <c r="B40" s="42">
        <f t="shared" si="1"/>
        <v>1339</v>
      </c>
      <c r="C40" s="43">
        <f t="shared" si="0"/>
        <v>2458130.2061516996</v>
      </c>
      <c r="E40" s="18">
        <f>'Calc.'!D257</f>
        <v>2018</v>
      </c>
      <c r="F40" s="18">
        <f>'Calc.'!D256</f>
        <v>1</v>
      </c>
      <c r="G40" s="49">
        <f>'Calc.'!D249</f>
        <v>11</v>
      </c>
      <c r="H40" s="49" t="str">
        <f>'Calc.'!F251</f>
        <v>16</v>
      </c>
      <c r="I40" s="49" t="str">
        <f>'Calc.'!F253</f>
        <v>56</v>
      </c>
      <c r="J40" s="49" t="str">
        <f>'Calc.'!F255</f>
        <v>52</v>
      </c>
      <c r="K40" s="4"/>
    </row>
    <row r="41" spans="2:11" x14ac:dyDescent="0.2">
      <c r="B41" s="42">
        <f t="shared" ref="B41:B49" si="2">B40+1</f>
        <v>1340</v>
      </c>
      <c r="C41" s="43">
        <f t="shared" si="0"/>
        <v>2458131.4014019999</v>
      </c>
      <c r="E41" s="18">
        <f>'Calc.'!D277</f>
        <v>2018</v>
      </c>
      <c r="F41" s="18">
        <f>'Calc.'!D276</f>
        <v>1</v>
      </c>
      <c r="G41" s="49">
        <f>'Calc.'!D269</f>
        <v>12</v>
      </c>
      <c r="H41" s="49" t="str">
        <f>'Calc.'!F271</f>
        <v>21</v>
      </c>
      <c r="I41" s="49" t="str">
        <f>'Calc.'!F273</f>
        <v>38</v>
      </c>
      <c r="J41" s="49" t="str">
        <f>'Calc.'!F275</f>
        <v>01</v>
      </c>
      <c r="K41" s="4"/>
    </row>
    <row r="42" spans="2:11" x14ac:dyDescent="0.2">
      <c r="B42" s="42">
        <f t="shared" si="2"/>
        <v>1341</v>
      </c>
      <c r="C42" s="43">
        <f t="shared" si="0"/>
        <v>2458132.5966522996</v>
      </c>
      <c r="E42" s="18">
        <f>'Calc.'!D297</f>
        <v>2018</v>
      </c>
      <c r="F42" s="18">
        <f>'Calc.'!D296</f>
        <v>1</v>
      </c>
      <c r="G42" s="49">
        <f>'Calc.'!D289</f>
        <v>14</v>
      </c>
      <c r="H42" s="49" t="str">
        <f>'Calc.'!F291</f>
        <v>02</v>
      </c>
      <c r="I42" s="49" t="str">
        <f>'Calc.'!F293</f>
        <v>19</v>
      </c>
      <c r="J42" s="49" t="str">
        <f>'Calc.'!F295</f>
        <v>11</v>
      </c>
      <c r="K42" s="4"/>
    </row>
    <row r="43" spans="2:11" x14ac:dyDescent="0.2">
      <c r="B43" s="42">
        <f t="shared" si="2"/>
        <v>1342</v>
      </c>
      <c r="C43" s="43">
        <f t="shared" si="0"/>
        <v>2458133.7919025999</v>
      </c>
      <c r="E43" s="18">
        <f>'Calc.'!D317</f>
        <v>2018</v>
      </c>
      <c r="F43" s="18">
        <f>'Calc.'!D316</f>
        <v>1</v>
      </c>
      <c r="G43" s="49">
        <f>'Calc.'!D309</f>
        <v>15</v>
      </c>
      <c r="H43" s="49" t="str">
        <f>'Calc.'!F311</f>
        <v>07</v>
      </c>
      <c r="I43" s="49" t="str">
        <f>'Calc.'!F313</f>
        <v>00</v>
      </c>
      <c r="J43" s="49" t="str">
        <f>'Calc.'!F315</f>
        <v>20</v>
      </c>
      <c r="K43" s="4"/>
    </row>
    <row r="44" spans="2:11" x14ac:dyDescent="0.2">
      <c r="B44" s="42">
        <f t="shared" si="2"/>
        <v>1343</v>
      </c>
      <c r="C44" s="43">
        <f t="shared" si="0"/>
        <v>2458134.9871528996</v>
      </c>
      <c r="E44" s="18">
        <f>'Calc.'!D337</f>
        <v>2018</v>
      </c>
      <c r="F44" s="18">
        <f>'Calc.'!D336</f>
        <v>1</v>
      </c>
      <c r="G44" s="49">
        <f>'Calc.'!D329</f>
        <v>16</v>
      </c>
      <c r="H44" s="49" t="str">
        <f>'Calc.'!F331</f>
        <v>11</v>
      </c>
      <c r="I44" s="49" t="str">
        <f>'Calc.'!F333</f>
        <v>41</v>
      </c>
      <c r="J44" s="49" t="str">
        <f>'Calc.'!F335</f>
        <v>30</v>
      </c>
      <c r="K44" s="4"/>
    </row>
    <row r="45" spans="2:11" x14ac:dyDescent="0.2">
      <c r="B45" s="42">
        <f t="shared" si="2"/>
        <v>1344</v>
      </c>
      <c r="C45" s="43">
        <f t="shared" si="0"/>
        <v>2458136.1824031998</v>
      </c>
      <c r="E45" s="18">
        <f>'Calc.'!D357</f>
        <v>2018</v>
      </c>
      <c r="F45" s="18">
        <f>'Calc.'!D356</f>
        <v>1</v>
      </c>
      <c r="G45" s="49">
        <f>'Calc.'!D349</f>
        <v>17</v>
      </c>
      <c r="H45" s="49" t="str">
        <f>'Calc.'!F351</f>
        <v>16</v>
      </c>
      <c r="I45" s="49" t="str">
        <f>'Calc.'!F353</f>
        <v>22</v>
      </c>
      <c r="J45" s="49" t="str">
        <f>'Calc.'!F355</f>
        <v>40</v>
      </c>
      <c r="K45" s="4"/>
    </row>
    <row r="46" spans="2:11" x14ac:dyDescent="0.2">
      <c r="B46" s="42">
        <f t="shared" si="2"/>
        <v>1345</v>
      </c>
      <c r="C46" s="43">
        <f t="shared" si="0"/>
        <v>2458137.3776534996</v>
      </c>
      <c r="E46" s="18">
        <f>'Calc.'!D377</f>
        <v>2018</v>
      </c>
      <c r="F46" s="18">
        <f>'Calc.'!D376</f>
        <v>1</v>
      </c>
      <c r="G46" s="49">
        <f>'Calc.'!D369</f>
        <v>18</v>
      </c>
      <c r="H46" s="49" t="str">
        <f>'Calc.'!F371</f>
        <v>21</v>
      </c>
      <c r="I46" s="49" t="str">
        <f>'Calc.'!F373</f>
        <v>03</v>
      </c>
      <c r="J46" s="49" t="str">
        <f>'Calc.'!F375</f>
        <v>49</v>
      </c>
      <c r="K46" s="4"/>
    </row>
    <row r="47" spans="2:11" x14ac:dyDescent="0.2">
      <c r="B47" s="42">
        <f t="shared" si="2"/>
        <v>1346</v>
      </c>
      <c r="C47" s="43">
        <f t="shared" si="0"/>
        <v>2458138.5729037998</v>
      </c>
      <c r="E47" s="18">
        <f>'Calc.'!D397</f>
        <v>2018</v>
      </c>
      <c r="F47" s="18">
        <f>'Calc.'!D396</f>
        <v>1</v>
      </c>
      <c r="G47" s="49">
        <f>'Calc.'!D389</f>
        <v>20</v>
      </c>
      <c r="H47" s="49" t="str">
        <f>'Calc.'!F391</f>
        <v>01</v>
      </c>
      <c r="I47" s="49" t="str">
        <f>'Calc.'!F393</f>
        <v>44</v>
      </c>
      <c r="J47" s="49" t="str">
        <f>'Calc.'!F395</f>
        <v>59</v>
      </c>
      <c r="K47" s="4"/>
    </row>
    <row r="48" spans="2:11" x14ac:dyDescent="0.2">
      <c r="B48" s="42">
        <f t="shared" si="2"/>
        <v>1347</v>
      </c>
      <c r="C48" s="43">
        <f t="shared" si="0"/>
        <v>2458139.7681541</v>
      </c>
      <c r="E48" s="18">
        <f>'Calc.'!D417</f>
        <v>2018</v>
      </c>
      <c r="F48" s="18">
        <f>'Calc.'!D416</f>
        <v>1</v>
      </c>
      <c r="G48" s="49">
        <f>'Calc.'!D409</f>
        <v>21</v>
      </c>
      <c r="H48" s="49" t="str">
        <f>'Calc.'!F411</f>
        <v>06</v>
      </c>
      <c r="I48" s="49" t="str">
        <f>'Calc.'!F413</f>
        <v>26</v>
      </c>
      <c r="J48" s="49" t="str">
        <f>'Calc.'!F415</f>
        <v>09</v>
      </c>
      <c r="K48" s="4"/>
    </row>
    <row r="49" spans="2:11" x14ac:dyDescent="0.2">
      <c r="B49" s="42">
        <f t="shared" si="2"/>
        <v>1348</v>
      </c>
      <c r="C49" s="43">
        <f t="shared" si="0"/>
        <v>2458140.9634043998</v>
      </c>
      <c r="E49" s="18">
        <f>'Calc.'!D437</f>
        <v>2018</v>
      </c>
      <c r="F49" s="18">
        <f>'Calc.'!D436</f>
        <v>1</v>
      </c>
      <c r="G49" s="49">
        <f>'Calc.'!D429</f>
        <v>22</v>
      </c>
      <c r="H49" s="49" t="str">
        <f>'Calc.'!F431</f>
        <v>11</v>
      </c>
      <c r="I49" s="49" t="str">
        <f>'Calc.'!F433</f>
        <v>07</v>
      </c>
      <c r="J49" s="49" t="str">
        <f>'Calc.'!F435</f>
        <v>18</v>
      </c>
      <c r="K49" s="4"/>
    </row>
    <row r="50" spans="2:11" x14ac:dyDescent="0.2">
      <c r="B50" s="42">
        <f t="shared" ref="B50:B59" si="3">B49+1</f>
        <v>1349</v>
      </c>
      <c r="C50" s="43">
        <f t="shared" si="0"/>
        <v>2458142.1586547</v>
      </c>
      <c r="E50" s="18">
        <f>'Calc.'!D457</f>
        <v>2018</v>
      </c>
      <c r="F50" s="18">
        <f>'Calc.'!D456</f>
        <v>1</v>
      </c>
      <c r="G50" s="49">
        <f>'Calc.'!D449</f>
        <v>23</v>
      </c>
      <c r="H50" s="49" t="str">
        <f>'Calc.'!F451</f>
        <v>15</v>
      </c>
      <c r="I50" s="49" t="str">
        <f>'Calc.'!F453</f>
        <v>48</v>
      </c>
      <c r="J50" s="49" t="str">
        <f>'Calc.'!F455</f>
        <v>28</v>
      </c>
      <c r="K50" s="4"/>
    </row>
    <row r="51" spans="2:11" x14ac:dyDescent="0.2">
      <c r="B51" s="42">
        <f t="shared" si="3"/>
        <v>1350</v>
      </c>
      <c r="C51" s="43">
        <f t="shared" si="0"/>
        <v>2458143.3539049998</v>
      </c>
      <c r="E51" s="18">
        <f>'Calc.'!D477</f>
        <v>2018</v>
      </c>
      <c r="F51" s="18">
        <f>'Calc.'!D476</f>
        <v>1</v>
      </c>
      <c r="G51" s="49">
        <f>'Calc.'!D469</f>
        <v>24</v>
      </c>
      <c r="H51" s="49" t="str">
        <f>'Calc.'!F471</f>
        <v>20</v>
      </c>
      <c r="I51" s="49" t="str">
        <f>'Calc.'!F473</f>
        <v>29</v>
      </c>
      <c r="J51" s="49" t="str">
        <f>'Calc.'!F475</f>
        <v>37</v>
      </c>
      <c r="K51" s="4"/>
    </row>
    <row r="52" spans="2:11" x14ac:dyDescent="0.2">
      <c r="B52" s="42">
        <f t="shared" si="3"/>
        <v>1351</v>
      </c>
      <c r="C52" s="43">
        <f t="shared" si="0"/>
        <v>2458144.5491553</v>
      </c>
      <c r="E52" s="18">
        <f>'Calc.'!D497</f>
        <v>2018</v>
      </c>
      <c r="F52" s="18">
        <f>'Calc.'!D496</f>
        <v>1</v>
      </c>
      <c r="G52" s="49">
        <f>'Calc.'!D489</f>
        <v>26</v>
      </c>
      <c r="H52" s="49" t="str">
        <f>'Calc.'!F491</f>
        <v>01</v>
      </c>
      <c r="I52" s="49" t="str">
        <f>'Calc.'!F493</f>
        <v>10</v>
      </c>
      <c r="J52" s="49" t="str">
        <f>'Calc.'!F495</f>
        <v>47</v>
      </c>
      <c r="K52" s="4"/>
    </row>
    <row r="53" spans="2:11" x14ac:dyDescent="0.2">
      <c r="B53" s="42">
        <f t="shared" si="3"/>
        <v>1352</v>
      </c>
      <c r="C53" s="43">
        <f t="shared" si="0"/>
        <v>2458145.7444055998</v>
      </c>
      <c r="E53" s="18">
        <f>'Calc.'!D517</f>
        <v>2018</v>
      </c>
      <c r="F53" s="18">
        <f>'Calc.'!D516</f>
        <v>1</v>
      </c>
      <c r="G53" s="49">
        <f>'Calc.'!D509</f>
        <v>27</v>
      </c>
      <c r="H53" s="49" t="str">
        <f>'Calc.'!F511</f>
        <v>05</v>
      </c>
      <c r="I53" s="49" t="str">
        <f>'Calc.'!F513</f>
        <v>51</v>
      </c>
      <c r="J53" s="49" t="str">
        <f>'Calc.'!F515</f>
        <v>57</v>
      </c>
      <c r="K53" s="4"/>
    </row>
    <row r="54" spans="2:11" x14ac:dyDescent="0.2">
      <c r="B54" s="42">
        <f t="shared" si="3"/>
        <v>1353</v>
      </c>
      <c r="C54" s="43">
        <f t="shared" si="0"/>
        <v>2458146.9396559</v>
      </c>
      <c r="E54" s="18">
        <f>'Calc.'!D537</f>
        <v>2018</v>
      </c>
      <c r="F54" s="18">
        <f>'Calc.'!D536</f>
        <v>1</v>
      </c>
      <c r="G54" s="49">
        <f>'Calc.'!D529</f>
        <v>28</v>
      </c>
      <c r="H54" s="49" t="str">
        <f>'Calc.'!F531</f>
        <v>10</v>
      </c>
      <c r="I54" s="49" t="str">
        <f>'Calc.'!F533</f>
        <v>33</v>
      </c>
      <c r="J54" s="49" t="str">
        <f>'Calc.'!F535</f>
        <v>06</v>
      </c>
      <c r="K54" s="4"/>
    </row>
    <row r="55" spans="2:11" x14ac:dyDescent="0.2">
      <c r="B55" s="42">
        <f t="shared" si="3"/>
        <v>1354</v>
      </c>
      <c r="C55" s="43">
        <f t="shared" si="0"/>
        <v>2458148.1349061998</v>
      </c>
      <c r="E55" s="18">
        <f>'Calc.'!D557</f>
        <v>2018</v>
      </c>
      <c r="F55" s="18">
        <f>'Calc.'!D556</f>
        <v>1</v>
      </c>
      <c r="G55" s="49">
        <f>'Calc.'!D549</f>
        <v>29</v>
      </c>
      <c r="H55" s="49" t="str">
        <f>'Calc.'!F551</f>
        <v>15</v>
      </c>
      <c r="I55" s="49" t="str">
        <f>'Calc.'!F553</f>
        <v>14</v>
      </c>
      <c r="J55" s="49" t="str">
        <f>'Calc.'!F555</f>
        <v>16</v>
      </c>
      <c r="K55" s="4"/>
    </row>
    <row r="56" spans="2:11" x14ac:dyDescent="0.2">
      <c r="B56" s="42">
        <f t="shared" si="3"/>
        <v>1355</v>
      </c>
      <c r="C56" s="43">
        <f t="shared" si="0"/>
        <v>2458149.3301565</v>
      </c>
      <c r="E56" s="18">
        <f>'Calc.'!D577</f>
        <v>2018</v>
      </c>
      <c r="F56" s="18">
        <f>'Calc.'!D576</f>
        <v>1</v>
      </c>
      <c r="G56" s="49">
        <f>'Calc.'!D569</f>
        <v>30</v>
      </c>
      <c r="H56" s="49" t="str">
        <f>'Calc.'!F571</f>
        <v>19</v>
      </c>
      <c r="I56" s="49" t="str">
        <f>'Calc.'!F573</f>
        <v>55</v>
      </c>
      <c r="J56" s="49" t="str">
        <f>'Calc.'!F575</f>
        <v>26</v>
      </c>
      <c r="K56" s="4"/>
    </row>
    <row r="57" spans="2:11" x14ac:dyDescent="0.2">
      <c r="B57" s="42">
        <f t="shared" si="3"/>
        <v>1356</v>
      </c>
      <c r="C57" s="43">
        <f t="shared" si="0"/>
        <v>2458150.5254067997</v>
      </c>
      <c r="E57" s="18">
        <f>'Calc.'!D597</f>
        <v>2018</v>
      </c>
      <c r="F57" s="18">
        <f>'Calc.'!D596</f>
        <v>2</v>
      </c>
      <c r="G57" s="49">
        <f>'Calc.'!D589</f>
        <v>1</v>
      </c>
      <c r="H57" s="49" t="str">
        <f>'Calc.'!F591</f>
        <v>00</v>
      </c>
      <c r="I57" s="49" t="str">
        <f>'Calc.'!F593</f>
        <v>36</v>
      </c>
      <c r="J57" s="49" t="str">
        <f>'Calc.'!F595</f>
        <v>35</v>
      </c>
      <c r="K57" s="4"/>
    </row>
    <row r="58" spans="2:11" x14ac:dyDescent="0.2">
      <c r="B58" s="42">
        <f t="shared" si="3"/>
        <v>1357</v>
      </c>
      <c r="C58" s="43">
        <f t="shared" si="0"/>
        <v>2458151.7206571</v>
      </c>
      <c r="E58" s="18">
        <f>'Calc.'!D617</f>
        <v>2018</v>
      </c>
      <c r="F58" s="18">
        <f>'Calc.'!D616</f>
        <v>2</v>
      </c>
      <c r="G58" s="49">
        <f>'Calc.'!D609</f>
        <v>2</v>
      </c>
      <c r="H58" s="49" t="str">
        <f>'Calc.'!F611</f>
        <v>05</v>
      </c>
      <c r="I58" s="49" t="str">
        <f>'Calc.'!F613</f>
        <v>17</v>
      </c>
      <c r="J58" s="49" t="str">
        <f>'Calc.'!F615</f>
        <v>45</v>
      </c>
      <c r="K58" s="4"/>
    </row>
    <row r="59" spans="2:11" x14ac:dyDescent="0.2">
      <c r="B59" s="42">
        <f t="shared" si="3"/>
        <v>1358</v>
      </c>
      <c r="C59" s="43">
        <f t="shared" si="0"/>
        <v>2458152.9159073997</v>
      </c>
      <c r="E59" s="18">
        <f>'Calc.'!D637</f>
        <v>2018</v>
      </c>
      <c r="F59" s="18">
        <f>'Calc.'!D636</f>
        <v>2</v>
      </c>
      <c r="G59" s="49">
        <f>'Calc.'!D629</f>
        <v>3</v>
      </c>
      <c r="H59" s="49" t="str">
        <f>'Calc.'!F631</f>
        <v>09</v>
      </c>
      <c r="I59" s="49" t="str">
        <f>'Calc.'!F633</f>
        <v>58</v>
      </c>
      <c r="J59" s="49" t="str">
        <f>'Calc.'!F635</f>
        <v>54</v>
      </c>
      <c r="K59" s="4"/>
    </row>
    <row r="60" spans="2:11" x14ac:dyDescent="0.2">
      <c r="B60" s="42">
        <f t="shared" ref="B60" si="4">B59+1</f>
        <v>1359</v>
      </c>
      <c r="C60" s="43">
        <f t="shared" si="0"/>
        <v>2458154.1111577</v>
      </c>
      <c r="E60" s="18">
        <f>'Calc.'!D657</f>
        <v>2018</v>
      </c>
      <c r="F60" s="18">
        <f>'Calc.'!D656</f>
        <v>2</v>
      </c>
      <c r="G60" s="49">
        <f>'Calc.'!D649</f>
        <v>4</v>
      </c>
      <c r="H60" s="49" t="str">
        <f>'Calc.'!F651</f>
        <v>14</v>
      </c>
      <c r="I60" s="49" t="str">
        <f>'Calc.'!F653</f>
        <v>40</v>
      </c>
      <c r="J60" s="49" t="str">
        <f>'Calc.'!F655</f>
        <v>04</v>
      </c>
      <c r="K60" s="4"/>
    </row>
    <row r="61" spans="2:11" x14ac:dyDescent="0.2">
      <c r="B61" s="59"/>
      <c r="C61" s="60" t="s">
        <v>115</v>
      </c>
      <c r="D61" s="50"/>
      <c r="E61" s="50"/>
      <c r="F61" s="50"/>
      <c r="G61" s="50"/>
      <c r="H61" s="50"/>
      <c r="I61" s="50"/>
      <c r="J61" s="50"/>
    </row>
  </sheetData>
  <phoneticPr fontId="0" type="noConversion"/>
  <conditionalFormatting sqref="H31:H60">
    <cfRule type="cellIs" dxfId="1" priority="3" operator="greaterThan">
      <formula>"'19'"</formula>
    </cfRule>
  </conditionalFormatting>
  <conditionalFormatting sqref="B61">
    <cfRule type="cellIs" dxfId="0" priority="1" operator="greaterThan">
      <formula>"'19'"</formula>
    </cfRule>
  </conditionalFormatting>
  <hyperlinks>
    <hyperlink ref="J6" r:id="rId1" xr:uid="{00000000-0004-0000-0000-000000000000}"/>
  </hyperlinks>
  <pageMargins left="0.78740157480314965" right="0.78740157480314965" top="0.98425196850393704" bottom="0.98425196850393704" header="0.51181102362204722" footer="0.51181102362204722"/>
  <pageSetup paperSize="9" scale="95" orientation="portrait" horizontalDpi="4294967293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58"/>
  <sheetViews>
    <sheetView workbookViewId="0">
      <selection activeCell="D2" sqref="D2"/>
    </sheetView>
  </sheetViews>
  <sheetFormatPr baseColWidth="10" defaultRowHeight="12.75" x14ac:dyDescent="0.2"/>
  <cols>
    <col min="1" max="1" width="3.7109375" customWidth="1"/>
    <col min="2" max="2" width="31" customWidth="1"/>
    <col min="3" max="3" width="14.42578125" customWidth="1"/>
    <col min="4" max="4" width="20.85546875" customWidth="1"/>
    <col min="5" max="5" width="5.28515625" customWidth="1"/>
    <col min="7" max="7" width="33.140625" bestFit="1" customWidth="1"/>
  </cols>
  <sheetData>
    <row r="2" spans="2:6" ht="15.75" x14ac:dyDescent="0.25">
      <c r="B2" s="3" t="s">
        <v>0</v>
      </c>
    </row>
    <row r="7" spans="2:6" x14ac:dyDescent="0.2">
      <c r="B7" s="1" t="s">
        <v>1</v>
      </c>
    </row>
    <row r="9" spans="2:6" x14ac:dyDescent="0.2">
      <c r="B9" s="2" t="s">
        <v>6</v>
      </c>
    </row>
    <row r="10" spans="2:6" x14ac:dyDescent="0.2">
      <c r="B10" t="s">
        <v>2</v>
      </c>
      <c r="C10" t="s">
        <v>37</v>
      </c>
      <c r="D10">
        <f>'Time of Minimum'!E23</f>
        <v>2018</v>
      </c>
      <c r="F10" t="s">
        <v>18</v>
      </c>
    </row>
    <row r="11" spans="2:6" x14ac:dyDescent="0.2">
      <c r="B11" t="s">
        <v>3</v>
      </c>
      <c r="C11" t="s">
        <v>37</v>
      </c>
      <c r="D11">
        <f>'Time of Minimum'!F23</f>
        <v>1</v>
      </c>
      <c r="F11" t="s">
        <v>18</v>
      </c>
    </row>
    <row r="12" spans="2:6" x14ac:dyDescent="0.2">
      <c r="B12" t="s">
        <v>4</v>
      </c>
      <c r="C12" t="s">
        <v>37</v>
      </c>
      <c r="D12">
        <f>'Time of Minimum'!G23</f>
        <v>1</v>
      </c>
      <c r="F12" t="s">
        <v>18</v>
      </c>
    </row>
    <row r="13" spans="2:6" x14ac:dyDescent="0.2">
      <c r="B13" t="s">
        <v>14</v>
      </c>
      <c r="C13" t="s">
        <v>37</v>
      </c>
      <c r="D13">
        <f>'Time of Minimum'!H23</f>
        <v>0</v>
      </c>
      <c r="F13" t="s">
        <v>18</v>
      </c>
    </row>
    <row r="14" spans="2:6" x14ac:dyDescent="0.2">
      <c r="B14" t="s">
        <v>13</v>
      </c>
      <c r="C14" t="s">
        <v>37</v>
      </c>
      <c r="D14">
        <f>'Time of Minimum'!I23</f>
        <v>0</v>
      </c>
      <c r="F14" t="s">
        <v>18</v>
      </c>
    </row>
    <row r="15" spans="2:6" x14ac:dyDescent="0.2">
      <c r="B15" t="s">
        <v>15</v>
      </c>
      <c r="C15" t="s">
        <v>37</v>
      </c>
      <c r="D15" s="10">
        <f>'Time of Minimum'!J23</f>
        <v>0</v>
      </c>
      <c r="F15" t="s">
        <v>18</v>
      </c>
    </row>
    <row r="18" spans="2:7" x14ac:dyDescent="0.2">
      <c r="B18" s="5" t="s">
        <v>32</v>
      </c>
    </row>
    <row r="19" spans="2:7" x14ac:dyDescent="0.2">
      <c r="B19" s="5"/>
    </row>
    <row r="20" spans="2:7" x14ac:dyDescent="0.2">
      <c r="B20" s="2" t="s">
        <v>36</v>
      </c>
    </row>
    <row r="21" spans="2:7" x14ac:dyDescent="0.2">
      <c r="B21" t="s">
        <v>7</v>
      </c>
      <c r="C21" t="s">
        <v>37</v>
      </c>
      <c r="D21" s="7">
        <f>(((D15/60)+D14)/60+D13)/24+D12</f>
        <v>1</v>
      </c>
    </row>
    <row r="22" spans="2:7" x14ac:dyDescent="0.2">
      <c r="B22" t="s">
        <v>16</v>
      </c>
      <c r="D22">
        <f>IF(D11&gt;2,D10,D10-1)</f>
        <v>2017</v>
      </c>
    </row>
    <row r="23" spans="2:7" x14ac:dyDescent="0.2">
      <c r="B23" t="s">
        <v>17</v>
      </c>
      <c r="D23">
        <f>IF(D11&gt;2,D11,D11+12)</f>
        <v>13</v>
      </c>
    </row>
    <row r="24" spans="2:7" x14ac:dyDescent="0.2">
      <c r="B24" t="s">
        <v>8</v>
      </c>
      <c r="D24">
        <f>1582*365+TRUNC(275*10/9)-2*TRUNC((10+9)/12)+15-30</f>
        <v>577718</v>
      </c>
    </row>
    <row r="25" spans="2:7" x14ac:dyDescent="0.2">
      <c r="B25" t="s">
        <v>9</v>
      </c>
      <c r="D25">
        <f>D10*365+TRUNC(275*D11/9)-2*TRUNC((D11+9)/12)+D12-30</f>
        <v>736571</v>
      </c>
    </row>
    <row r="26" spans="2:7" x14ac:dyDescent="0.2">
      <c r="B26" t="s">
        <v>10</v>
      </c>
      <c r="D26">
        <f>TRUNC(D22/100)</f>
        <v>20</v>
      </c>
    </row>
    <row r="27" spans="2:7" x14ac:dyDescent="0.2">
      <c r="B27" t="s">
        <v>5</v>
      </c>
      <c r="D27">
        <f>IF(D25&lt;D24,0,2-D26+TRUNC(D26/4))</f>
        <v>-13</v>
      </c>
    </row>
    <row r="28" spans="2:7" s="9" customFormat="1" x14ac:dyDescent="0.2">
      <c r="B28" s="9" t="s">
        <v>0</v>
      </c>
      <c r="C28" s="9" t="s">
        <v>38</v>
      </c>
      <c r="D28" s="12">
        <f>TRUNC(365.25*(D22+4716))+TRUNC(30.6001*(D23+1))+D21+D27-1524.5</f>
        <v>2458119.5</v>
      </c>
      <c r="F28" s="9" t="s">
        <v>40</v>
      </c>
    </row>
    <row r="29" spans="2:7" x14ac:dyDescent="0.2">
      <c r="B29" t="s">
        <v>28</v>
      </c>
      <c r="C29" t="s">
        <v>11</v>
      </c>
      <c r="D29" s="6">
        <f>(D28-2451545)/36525</f>
        <v>0.18</v>
      </c>
      <c r="F29" t="s">
        <v>41</v>
      </c>
    </row>
    <row r="30" spans="2:7" x14ac:dyDescent="0.2">
      <c r="B30" t="s">
        <v>29</v>
      </c>
      <c r="C30" t="s">
        <v>12</v>
      </c>
      <c r="D30" s="6">
        <f>(D28-2451545)/365250</f>
        <v>1.7999999999999999E-2</v>
      </c>
      <c r="F30" t="s">
        <v>42</v>
      </c>
    </row>
    <row r="31" spans="2:7" x14ac:dyDescent="0.2">
      <c r="B31" t="s">
        <v>21</v>
      </c>
      <c r="C31" t="s">
        <v>39</v>
      </c>
      <c r="D31" s="7">
        <f xml:space="preserve"> D28-2400000.5</f>
        <v>58119</v>
      </c>
      <c r="F31" t="s">
        <v>43</v>
      </c>
    </row>
    <row r="32" spans="2:7" x14ac:dyDescent="0.2">
      <c r="B32" t="s">
        <v>30</v>
      </c>
      <c r="D32" s="4">
        <f>ROUND((((D28+1.5)/7)-TRUNC((D28+1.5)/7))*7,0)</f>
        <v>1</v>
      </c>
      <c r="G32" s="8"/>
    </row>
    <row r="33" spans="2:6" s="9" customFormat="1" x14ac:dyDescent="0.2">
      <c r="B33" s="9" t="s">
        <v>31</v>
      </c>
      <c r="D33" s="13" t="str">
        <f>IF(D32=0,"Sonntag",IF(D32=1,"Montag",IF(D32=2,"Dienstag",IF(D32=3,"Mittwoch",IF(D32=4,"Donnerstag",IF(D32=5,"Freitag","Samstag"))))))</f>
        <v>Montag</v>
      </c>
    </row>
    <row r="37" spans="2:6" x14ac:dyDescent="0.2">
      <c r="B37" s="2" t="s">
        <v>33</v>
      </c>
      <c r="D37" s="7"/>
    </row>
    <row r="38" spans="2:6" ht="15.75" x14ac:dyDescent="0.3">
      <c r="B38" t="s">
        <v>0</v>
      </c>
      <c r="C38" t="s">
        <v>38</v>
      </c>
      <c r="D38" s="12">
        <f>'Time of Minimum'!E18</f>
        <v>2456529.7659999998</v>
      </c>
      <c r="F38" s="9" t="s">
        <v>74</v>
      </c>
    </row>
    <row r="39" spans="2:6" x14ac:dyDescent="0.2">
      <c r="B39" t="s">
        <v>19</v>
      </c>
      <c r="D39" s="7">
        <f>D38+0.5</f>
        <v>2456530.2659999998</v>
      </c>
    </row>
    <row r="40" spans="2:6" x14ac:dyDescent="0.2">
      <c r="B40" t="s">
        <v>20</v>
      </c>
      <c r="D40" s="7">
        <f>TRUNC(D39)</f>
        <v>2456530</v>
      </c>
    </row>
    <row r="41" spans="2:6" x14ac:dyDescent="0.2">
      <c r="B41" t="s">
        <v>22</v>
      </c>
      <c r="D41" s="7">
        <f>D39-D40</f>
        <v>0.26599999982863665</v>
      </c>
    </row>
    <row r="42" spans="2:6" x14ac:dyDescent="0.2">
      <c r="B42" t="s">
        <v>23</v>
      </c>
      <c r="D42">
        <f>TRUNC((D40-1867216.25)/36524.25)</f>
        <v>16</v>
      </c>
    </row>
    <row r="43" spans="2:6" x14ac:dyDescent="0.2">
      <c r="B43" t="s">
        <v>10</v>
      </c>
      <c r="D43">
        <f>IF(D40&lt;2299161,D40,(D40+1+D42-TRUNC(D42/4)))</f>
        <v>2456543</v>
      </c>
    </row>
    <row r="44" spans="2:6" x14ac:dyDescent="0.2">
      <c r="B44" t="s">
        <v>5</v>
      </c>
      <c r="D44">
        <f>D43+1524</f>
        <v>2458067</v>
      </c>
    </row>
    <row r="45" spans="2:6" x14ac:dyDescent="0.2">
      <c r="B45" t="s">
        <v>24</v>
      </c>
      <c r="D45">
        <f>TRUNC((D44-122.1)/365.25)</f>
        <v>6729</v>
      </c>
    </row>
    <row r="46" spans="2:6" x14ac:dyDescent="0.2">
      <c r="B46" t="s">
        <v>25</v>
      </c>
      <c r="D46">
        <f>TRUNC(365.25*D45)</f>
        <v>2457767</v>
      </c>
    </row>
    <row r="47" spans="2:6" x14ac:dyDescent="0.2">
      <c r="B47" t="s">
        <v>26</v>
      </c>
      <c r="D47">
        <f>TRUNC((D44-D46)/30.6001)</f>
        <v>9</v>
      </c>
    </row>
    <row r="48" spans="2:6" s="9" customFormat="1" x14ac:dyDescent="0.2">
      <c r="B48" s="9" t="s">
        <v>27</v>
      </c>
      <c r="C48" s="9" t="s">
        <v>34</v>
      </c>
      <c r="D48" s="12">
        <f>D44-D46-TRUNC(30.6001*D47)+D41</f>
        <v>25.265999999828637</v>
      </c>
    </row>
    <row r="49" spans="2:7" s="9" customFormat="1" x14ac:dyDescent="0.2">
      <c r="B49" s="9" t="s">
        <v>67</v>
      </c>
      <c r="C49" s="9" t="s">
        <v>34</v>
      </c>
      <c r="D49" s="11">
        <f>INT(D48)</f>
        <v>25</v>
      </c>
    </row>
    <row r="50" spans="2:7" s="9" customFormat="1" x14ac:dyDescent="0.2">
      <c r="B50" s="9" t="s">
        <v>68</v>
      </c>
      <c r="C50" s="9" t="s">
        <v>58</v>
      </c>
      <c r="D50" s="12">
        <f>(D48-D49)*24</f>
        <v>6.3839999958872795</v>
      </c>
    </row>
    <row r="51" spans="2:7" s="9" customFormat="1" x14ac:dyDescent="0.2">
      <c r="B51" s="9" t="s">
        <v>69</v>
      </c>
      <c r="C51" s="9" t="s">
        <v>58</v>
      </c>
      <c r="D51" s="11">
        <f>INT(D50)</f>
        <v>6</v>
      </c>
      <c r="F51" s="11" t="str">
        <f>IF(D51&lt;10,"0","")&amp;D51</f>
        <v>06</v>
      </c>
      <c r="G51" s="9" t="s">
        <v>112</v>
      </c>
    </row>
    <row r="52" spans="2:7" s="9" customFormat="1" x14ac:dyDescent="0.2">
      <c r="B52" s="9" t="s">
        <v>70</v>
      </c>
      <c r="C52" s="9" t="s">
        <v>59</v>
      </c>
      <c r="D52" s="12">
        <f>(D50-D51)*60</f>
        <v>23.039999753236771</v>
      </c>
      <c r="F52" s="11"/>
    </row>
    <row r="53" spans="2:7" s="9" customFormat="1" x14ac:dyDescent="0.2">
      <c r="B53" s="9" t="s">
        <v>71</v>
      </c>
      <c r="C53" s="9" t="s">
        <v>59</v>
      </c>
      <c r="D53" s="11">
        <f>INT(D52)</f>
        <v>23</v>
      </c>
      <c r="F53" s="11" t="str">
        <f t="shared" ref="F53:F55" si="0">IF(D53&lt;10,"0","")&amp;D53</f>
        <v>23</v>
      </c>
      <c r="G53" s="9" t="s">
        <v>112</v>
      </c>
    </row>
    <row r="54" spans="2:7" s="9" customFormat="1" x14ac:dyDescent="0.2">
      <c r="B54" s="9" t="s">
        <v>72</v>
      </c>
      <c r="C54" s="9" t="s">
        <v>60</v>
      </c>
      <c r="D54" s="12">
        <f>(D52-D53)*60</f>
        <v>2.3999851942062378</v>
      </c>
      <c r="F54" s="11"/>
    </row>
    <row r="55" spans="2:7" s="9" customFormat="1" x14ac:dyDescent="0.2">
      <c r="B55" s="9" t="s">
        <v>73</v>
      </c>
      <c r="C55" s="9" t="s">
        <v>60</v>
      </c>
      <c r="D55" s="12">
        <f>ROUND(D54,0)</f>
        <v>2</v>
      </c>
      <c r="F55" s="11" t="str">
        <f t="shared" si="0"/>
        <v>02</v>
      </c>
      <c r="G55" s="9" t="s">
        <v>112</v>
      </c>
    </row>
    <row r="56" spans="2:7" s="9" customFormat="1" x14ac:dyDescent="0.2">
      <c r="B56" s="9" t="s">
        <v>3</v>
      </c>
      <c r="C56" s="9" t="s">
        <v>35</v>
      </c>
      <c r="D56" s="9">
        <f>IF(D47&lt;14,D47-1,D47-13)</f>
        <v>8</v>
      </c>
    </row>
    <row r="57" spans="2:7" s="9" customFormat="1" x14ac:dyDescent="0.2">
      <c r="B57" s="9" t="s">
        <v>2</v>
      </c>
      <c r="C57" s="9" t="s">
        <v>61</v>
      </c>
      <c r="D57" s="9">
        <f>IF(D56&gt;2,D45-4716,D45-4715)</f>
        <v>2013</v>
      </c>
    </row>
    <row r="58" spans="2:7" x14ac:dyDescent="0.2">
      <c r="B58" s="50" t="s">
        <v>0</v>
      </c>
      <c r="C58" s="50" t="s">
        <v>38</v>
      </c>
      <c r="D58" s="51">
        <f>'Time of Minimum'!C31</f>
        <v>2458119.448899</v>
      </c>
      <c r="E58" s="50"/>
      <c r="F58" s="52" t="s">
        <v>75</v>
      </c>
    </row>
    <row r="59" spans="2:7" x14ac:dyDescent="0.2">
      <c r="B59" t="s">
        <v>19</v>
      </c>
      <c r="D59" s="7">
        <f>D58+0.5</f>
        <v>2458119.948899</v>
      </c>
    </row>
    <row r="60" spans="2:7" x14ac:dyDescent="0.2">
      <c r="B60" t="s">
        <v>20</v>
      </c>
      <c r="D60" s="7">
        <f>TRUNC(D59)</f>
        <v>2458119</v>
      </c>
    </row>
    <row r="61" spans="2:7" x14ac:dyDescent="0.2">
      <c r="B61" t="s">
        <v>22</v>
      </c>
      <c r="D61" s="7">
        <f>D59-D60</f>
        <v>0.94889899995177984</v>
      </c>
    </row>
    <row r="62" spans="2:7" x14ac:dyDescent="0.2">
      <c r="B62" t="s">
        <v>23</v>
      </c>
      <c r="D62">
        <f>TRUNC((D60-1867216.25)/36524.25)</f>
        <v>16</v>
      </c>
    </row>
    <row r="63" spans="2:7" x14ac:dyDescent="0.2">
      <c r="B63" t="s">
        <v>10</v>
      </c>
      <c r="D63">
        <f>IF(D60&lt;2299161,D60,(D60+1+D62-TRUNC(D62/4)))</f>
        <v>2458132</v>
      </c>
    </row>
    <row r="64" spans="2:7" x14ac:dyDescent="0.2">
      <c r="B64" t="s">
        <v>5</v>
      </c>
      <c r="D64">
        <f>D63+1524</f>
        <v>2459656</v>
      </c>
    </row>
    <row r="65" spans="2:7" x14ac:dyDescent="0.2">
      <c r="B65" t="s">
        <v>24</v>
      </c>
      <c r="D65">
        <f>TRUNC((D64-122.1)/365.25)</f>
        <v>6733</v>
      </c>
    </row>
    <row r="66" spans="2:7" x14ac:dyDescent="0.2">
      <c r="B66" t="s">
        <v>25</v>
      </c>
      <c r="D66">
        <f>TRUNC(365.25*D65)</f>
        <v>2459228</v>
      </c>
    </row>
    <row r="67" spans="2:7" x14ac:dyDescent="0.2">
      <c r="B67" t="s">
        <v>26</v>
      </c>
      <c r="D67">
        <f>TRUNC((D64-D66)/30.6001)</f>
        <v>13</v>
      </c>
    </row>
    <row r="68" spans="2:7" s="9" customFormat="1" x14ac:dyDescent="0.2">
      <c r="B68" s="9" t="s">
        <v>27</v>
      </c>
      <c r="C68" s="9" t="s">
        <v>34</v>
      </c>
      <c r="D68" s="12">
        <f>D64-D66-TRUNC(30.6001*D67)+D61</f>
        <v>31.94889899995178</v>
      </c>
    </row>
    <row r="69" spans="2:7" s="9" customFormat="1" x14ac:dyDescent="0.2">
      <c r="B69" s="9" t="s">
        <v>67</v>
      </c>
      <c r="C69" s="9" t="s">
        <v>34</v>
      </c>
      <c r="D69" s="11">
        <f>INT(D68)</f>
        <v>31</v>
      </c>
    </row>
    <row r="70" spans="2:7" s="9" customFormat="1" x14ac:dyDescent="0.2">
      <c r="B70" s="9" t="s">
        <v>68</v>
      </c>
      <c r="C70" s="9" t="s">
        <v>58</v>
      </c>
      <c r="D70" s="12">
        <f>(D68-D69)*24</f>
        <v>22.773575998842716</v>
      </c>
    </row>
    <row r="71" spans="2:7" s="9" customFormat="1" x14ac:dyDescent="0.2">
      <c r="B71" s="9" t="s">
        <v>69</v>
      </c>
      <c r="C71" s="9" t="s">
        <v>58</v>
      </c>
      <c r="D71" s="11">
        <f>INT(D70)</f>
        <v>22</v>
      </c>
      <c r="F71" s="11" t="str">
        <f>IF(D71&lt;10,"0","")&amp;D71</f>
        <v>22</v>
      </c>
      <c r="G71" s="9" t="s">
        <v>112</v>
      </c>
    </row>
    <row r="72" spans="2:7" s="9" customFormat="1" x14ac:dyDescent="0.2">
      <c r="B72" s="9" t="s">
        <v>70</v>
      </c>
      <c r="C72" s="9" t="s">
        <v>59</v>
      </c>
      <c r="D72" s="12">
        <f>(D70-D71)*60</f>
        <v>46.414559930562973</v>
      </c>
      <c r="F72" s="11"/>
    </row>
    <row r="73" spans="2:7" s="9" customFormat="1" x14ac:dyDescent="0.2">
      <c r="B73" s="9" t="s">
        <v>71</v>
      </c>
      <c r="C73" s="9" t="s">
        <v>59</v>
      </c>
      <c r="D73" s="11">
        <f>INT(D72)</f>
        <v>46</v>
      </c>
      <c r="F73" s="11" t="str">
        <f t="shared" ref="F73:F75" si="1">IF(D73&lt;10,"0","")&amp;D73</f>
        <v>46</v>
      </c>
      <c r="G73" s="9" t="s">
        <v>112</v>
      </c>
    </row>
    <row r="74" spans="2:7" s="9" customFormat="1" x14ac:dyDescent="0.2">
      <c r="B74" s="9" t="s">
        <v>72</v>
      </c>
      <c r="C74" s="9" t="s">
        <v>60</v>
      </c>
      <c r="D74" s="12">
        <f>(D72-D73)*60</f>
        <v>24.873595833778381</v>
      </c>
      <c r="F74" s="11"/>
    </row>
    <row r="75" spans="2:7" s="9" customFormat="1" x14ac:dyDescent="0.2">
      <c r="B75" s="9" t="s">
        <v>73</v>
      </c>
      <c r="C75" s="9" t="s">
        <v>60</v>
      </c>
      <c r="D75" s="12">
        <f>ROUND(D74,0)</f>
        <v>25</v>
      </c>
      <c r="F75" s="11" t="str">
        <f t="shared" si="1"/>
        <v>25</v>
      </c>
      <c r="G75" s="9" t="s">
        <v>112</v>
      </c>
    </row>
    <row r="76" spans="2:7" s="9" customFormat="1" x14ac:dyDescent="0.2">
      <c r="B76" s="9" t="s">
        <v>3</v>
      </c>
      <c r="C76" s="9" t="s">
        <v>35</v>
      </c>
      <c r="D76" s="9">
        <f>IF(D67&lt;14,D67-1,D67-13)</f>
        <v>12</v>
      </c>
    </row>
    <row r="77" spans="2:7" s="9" customFormat="1" x14ac:dyDescent="0.2">
      <c r="B77" s="9" t="s">
        <v>2</v>
      </c>
      <c r="C77" s="9" t="s">
        <v>61</v>
      </c>
      <c r="D77" s="9">
        <f>IF(D76&gt;2,D65-4716,D65-4715)</f>
        <v>2017</v>
      </c>
    </row>
    <row r="78" spans="2:7" x14ac:dyDescent="0.2">
      <c r="B78" s="50" t="s">
        <v>0</v>
      </c>
      <c r="C78" s="50" t="s">
        <v>38</v>
      </c>
      <c r="D78" s="51">
        <f>'Time of Minimum'!C32</f>
        <v>2458120.6441492997</v>
      </c>
      <c r="E78" s="50"/>
      <c r="F78" s="52" t="s">
        <v>77</v>
      </c>
    </row>
    <row r="79" spans="2:7" x14ac:dyDescent="0.2">
      <c r="B79" t="s">
        <v>19</v>
      </c>
      <c r="D79" s="7">
        <f>D78+0.5</f>
        <v>2458121.1441492997</v>
      </c>
    </row>
    <row r="80" spans="2:7" x14ac:dyDescent="0.2">
      <c r="B80" t="s">
        <v>20</v>
      </c>
      <c r="D80" s="7">
        <f>TRUNC(D79)</f>
        <v>2458121</v>
      </c>
    </row>
    <row r="81" spans="2:7" x14ac:dyDescent="0.2">
      <c r="B81" t="s">
        <v>22</v>
      </c>
      <c r="D81" s="7">
        <f>D79-D80</f>
        <v>0.144149299710989</v>
      </c>
    </row>
    <row r="82" spans="2:7" x14ac:dyDescent="0.2">
      <c r="B82" t="s">
        <v>23</v>
      </c>
      <c r="D82">
        <f>TRUNC((D80-1867216.25)/36524.25)</f>
        <v>16</v>
      </c>
    </row>
    <row r="83" spans="2:7" x14ac:dyDescent="0.2">
      <c r="B83" t="s">
        <v>10</v>
      </c>
      <c r="D83">
        <f>IF(D80&lt;2299161,D80,(D80+1+D82-TRUNC(D82/4)))</f>
        <v>2458134</v>
      </c>
    </row>
    <row r="84" spans="2:7" x14ac:dyDescent="0.2">
      <c r="B84" t="s">
        <v>5</v>
      </c>
      <c r="D84">
        <f>D83+1524</f>
        <v>2459658</v>
      </c>
    </row>
    <row r="85" spans="2:7" x14ac:dyDescent="0.2">
      <c r="B85" t="s">
        <v>24</v>
      </c>
      <c r="D85">
        <f>TRUNC((D84-122.1)/365.25)</f>
        <v>6733</v>
      </c>
    </row>
    <row r="86" spans="2:7" x14ac:dyDescent="0.2">
      <c r="B86" t="s">
        <v>25</v>
      </c>
      <c r="D86">
        <f>TRUNC(365.25*D85)</f>
        <v>2459228</v>
      </c>
    </row>
    <row r="87" spans="2:7" x14ac:dyDescent="0.2">
      <c r="B87" t="s">
        <v>26</v>
      </c>
      <c r="D87">
        <f>TRUNC((D84-D86)/30.6001)</f>
        <v>14</v>
      </c>
    </row>
    <row r="88" spans="2:7" s="9" customFormat="1" x14ac:dyDescent="0.2">
      <c r="B88" s="9" t="s">
        <v>27</v>
      </c>
      <c r="C88" s="9" t="s">
        <v>34</v>
      </c>
      <c r="D88" s="12">
        <f>D84-D86-TRUNC(30.6001*D87)+D81</f>
        <v>2.144149299710989</v>
      </c>
    </row>
    <row r="89" spans="2:7" s="9" customFormat="1" x14ac:dyDescent="0.2">
      <c r="B89" s="9" t="s">
        <v>67</v>
      </c>
      <c r="C89" s="9" t="s">
        <v>34</v>
      </c>
      <c r="D89" s="11">
        <f>INT(D88)</f>
        <v>2</v>
      </c>
    </row>
    <row r="90" spans="2:7" s="9" customFormat="1" x14ac:dyDescent="0.2">
      <c r="B90" s="9" t="s">
        <v>68</v>
      </c>
      <c r="C90" s="9" t="s">
        <v>58</v>
      </c>
      <c r="D90" s="12">
        <f>(D88-D89)*24</f>
        <v>3.459583193063736</v>
      </c>
    </row>
    <row r="91" spans="2:7" s="9" customFormat="1" x14ac:dyDescent="0.2">
      <c r="B91" s="9" t="s">
        <v>69</v>
      </c>
      <c r="C91" s="9" t="s">
        <v>58</v>
      </c>
      <c r="D91" s="11">
        <f>INT(D90)</f>
        <v>3</v>
      </c>
      <c r="F91" s="11" t="str">
        <f>IF(D91&lt;10,"0","")&amp;D91</f>
        <v>03</v>
      </c>
      <c r="G91" s="9" t="s">
        <v>112</v>
      </c>
    </row>
    <row r="92" spans="2:7" s="9" customFormat="1" x14ac:dyDescent="0.2">
      <c r="B92" s="9" t="s">
        <v>70</v>
      </c>
      <c r="C92" s="9" t="s">
        <v>59</v>
      </c>
      <c r="D92" s="12">
        <f>(D90-D91)*60</f>
        <v>27.574991583824158</v>
      </c>
      <c r="F92" s="11"/>
    </row>
    <row r="93" spans="2:7" s="9" customFormat="1" x14ac:dyDescent="0.2">
      <c r="B93" s="9" t="s">
        <v>71</v>
      </c>
      <c r="C93" s="9" t="s">
        <v>59</v>
      </c>
      <c r="D93" s="11">
        <f>INT(D92)</f>
        <v>27</v>
      </c>
      <c r="F93" s="11" t="str">
        <f t="shared" ref="F93:F95" si="2">IF(D93&lt;10,"0","")&amp;D93</f>
        <v>27</v>
      </c>
      <c r="G93" s="9" t="s">
        <v>112</v>
      </c>
    </row>
    <row r="94" spans="2:7" s="9" customFormat="1" x14ac:dyDescent="0.2">
      <c r="B94" s="9" t="s">
        <v>72</v>
      </c>
      <c r="C94" s="9" t="s">
        <v>60</v>
      </c>
      <c r="D94" s="12">
        <f>(D92-D93)*60</f>
        <v>34.499495029449463</v>
      </c>
      <c r="F94" s="11"/>
    </row>
    <row r="95" spans="2:7" s="9" customFormat="1" x14ac:dyDescent="0.2">
      <c r="B95" s="9" t="s">
        <v>73</v>
      </c>
      <c r="C95" s="9" t="s">
        <v>60</v>
      </c>
      <c r="D95" s="12">
        <f>ROUND(D94,0)</f>
        <v>34</v>
      </c>
      <c r="F95" s="11" t="str">
        <f t="shared" si="2"/>
        <v>34</v>
      </c>
      <c r="G95" s="9" t="s">
        <v>112</v>
      </c>
    </row>
    <row r="96" spans="2:7" s="9" customFormat="1" x14ac:dyDescent="0.2">
      <c r="B96" s="9" t="s">
        <v>3</v>
      </c>
      <c r="C96" s="9" t="s">
        <v>35</v>
      </c>
      <c r="D96" s="9">
        <f>IF(D87&lt;14,D87-1,D87-13)</f>
        <v>1</v>
      </c>
    </row>
    <row r="97" spans="2:7" s="9" customFormat="1" x14ac:dyDescent="0.2">
      <c r="B97" s="9" t="s">
        <v>2</v>
      </c>
      <c r="C97" s="9" t="s">
        <v>61</v>
      </c>
      <c r="D97" s="9">
        <f>IF(D96&gt;2,D85-4716,D85-4715)</f>
        <v>2018</v>
      </c>
    </row>
    <row r="98" spans="2:7" x14ac:dyDescent="0.2">
      <c r="B98" s="50" t="s">
        <v>0</v>
      </c>
      <c r="C98" s="50" t="s">
        <v>38</v>
      </c>
      <c r="D98" s="51">
        <f>'Time of Minimum'!C33</f>
        <v>2458121.8393995999</v>
      </c>
      <c r="E98" s="50"/>
      <c r="F98" s="52" t="s">
        <v>78</v>
      </c>
    </row>
    <row r="99" spans="2:7" x14ac:dyDescent="0.2">
      <c r="B99" t="s">
        <v>19</v>
      </c>
      <c r="D99" s="7">
        <f>D98+0.5</f>
        <v>2458122.3393995999</v>
      </c>
    </row>
    <row r="100" spans="2:7" x14ac:dyDescent="0.2">
      <c r="B100" t="s">
        <v>20</v>
      </c>
      <c r="D100" s="7">
        <f>TRUNC(D99)</f>
        <v>2458122</v>
      </c>
    </row>
    <row r="101" spans="2:7" x14ac:dyDescent="0.2">
      <c r="B101" t="s">
        <v>22</v>
      </c>
      <c r="D101" s="7">
        <f>D99-D100</f>
        <v>0.33939959993585944</v>
      </c>
    </row>
    <row r="102" spans="2:7" x14ac:dyDescent="0.2">
      <c r="B102" t="s">
        <v>23</v>
      </c>
      <c r="D102">
        <f>TRUNC((D100-1867216.25)/36524.25)</f>
        <v>16</v>
      </c>
    </row>
    <row r="103" spans="2:7" x14ac:dyDescent="0.2">
      <c r="B103" t="s">
        <v>10</v>
      </c>
      <c r="D103">
        <f>IF(D100&lt;2299161,D100,(D100+1+D102-TRUNC(D102/4)))</f>
        <v>2458135</v>
      </c>
    </row>
    <row r="104" spans="2:7" x14ac:dyDescent="0.2">
      <c r="B104" t="s">
        <v>5</v>
      </c>
      <c r="D104">
        <f>D103+1524</f>
        <v>2459659</v>
      </c>
    </row>
    <row r="105" spans="2:7" x14ac:dyDescent="0.2">
      <c r="B105" t="s">
        <v>24</v>
      </c>
      <c r="D105">
        <f>TRUNC((D104-122.1)/365.25)</f>
        <v>6733</v>
      </c>
    </row>
    <row r="106" spans="2:7" x14ac:dyDescent="0.2">
      <c r="B106" t="s">
        <v>25</v>
      </c>
      <c r="D106">
        <f>TRUNC(365.25*D105)</f>
        <v>2459228</v>
      </c>
    </row>
    <row r="107" spans="2:7" x14ac:dyDescent="0.2">
      <c r="B107" t="s">
        <v>26</v>
      </c>
      <c r="D107">
        <f>TRUNC((D104-D106)/30.6001)</f>
        <v>14</v>
      </c>
    </row>
    <row r="108" spans="2:7" s="9" customFormat="1" x14ac:dyDescent="0.2">
      <c r="B108" s="9" t="s">
        <v>27</v>
      </c>
      <c r="C108" s="9" t="s">
        <v>34</v>
      </c>
      <c r="D108" s="12">
        <f>D104-D106-TRUNC(30.6001*D107)+D101</f>
        <v>3.3393995999358594</v>
      </c>
    </row>
    <row r="109" spans="2:7" s="9" customFormat="1" x14ac:dyDescent="0.2">
      <c r="B109" s="9" t="s">
        <v>67</v>
      </c>
      <c r="C109" s="9" t="s">
        <v>34</v>
      </c>
      <c r="D109" s="11">
        <f>INT(D108)</f>
        <v>3</v>
      </c>
    </row>
    <row r="110" spans="2:7" s="9" customFormat="1" x14ac:dyDescent="0.2">
      <c r="B110" s="9" t="s">
        <v>68</v>
      </c>
      <c r="C110" s="9" t="s">
        <v>58</v>
      </c>
      <c r="D110" s="12">
        <f>(D108-D109)*24</f>
        <v>8.1455903984606266</v>
      </c>
    </row>
    <row r="111" spans="2:7" s="9" customFormat="1" x14ac:dyDescent="0.2">
      <c r="B111" s="9" t="s">
        <v>69</v>
      </c>
      <c r="C111" s="9" t="s">
        <v>58</v>
      </c>
      <c r="D111" s="11">
        <f>INT(D110)</f>
        <v>8</v>
      </c>
      <c r="F111" s="11" t="str">
        <f>IF(D111&lt;10,"0","")&amp;D111</f>
        <v>08</v>
      </c>
      <c r="G111" s="9" t="s">
        <v>112</v>
      </c>
    </row>
    <row r="112" spans="2:7" s="9" customFormat="1" x14ac:dyDescent="0.2">
      <c r="B112" s="9" t="s">
        <v>70</v>
      </c>
      <c r="C112" s="9" t="s">
        <v>59</v>
      </c>
      <c r="D112" s="12">
        <f>(D110-D111)*60</f>
        <v>8.7354239076375961</v>
      </c>
      <c r="F112" s="11"/>
    </row>
    <row r="113" spans="2:7" s="9" customFormat="1" x14ac:dyDescent="0.2">
      <c r="B113" s="9" t="s">
        <v>71</v>
      </c>
      <c r="C113" s="9" t="s">
        <v>59</v>
      </c>
      <c r="D113" s="11">
        <f>INT(D112)</f>
        <v>8</v>
      </c>
      <c r="F113" s="11" t="str">
        <f t="shared" ref="F113:F115" si="3">IF(D113&lt;10,"0","")&amp;D113</f>
        <v>08</v>
      </c>
      <c r="G113" s="9" t="s">
        <v>112</v>
      </c>
    </row>
    <row r="114" spans="2:7" s="9" customFormat="1" x14ac:dyDescent="0.2">
      <c r="B114" s="9" t="s">
        <v>72</v>
      </c>
      <c r="C114" s="9" t="s">
        <v>60</v>
      </c>
      <c r="D114" s="12">
        <f>(D112-D113)*60</f>
        <v>44.125434458255768</v>
      </c>
      <c r="F114" s="11"/>
    </row>
    <row r="115" spans="2:7" s="9" customFormat="1" x14ac:dyDescent="0.2">
      <c r="B115" s="9" t="s">
        <v>73</v>
      </c>
      <c r="C115" s="9" t="s">
        <v>60</v>
      </c>
      <c r="D115" s="12">
        <f>ROUND(D114,0)</f>
        <v>44</v>
      </c>
      <c r="F115" s="11" t="str">
        <f t="shared" si="3"/>
        <v>44</v>
      </c>
      <c r="G115" s="9" t="s">
        <v>112</v>
      </c>
    </row>
    <row r="116" spans="2:7" s="9" customFormat="1" x14ac:dyDescent="0.2">
      <c r="B116" s="9" t="s">
        <v>3</v>
      </c>
      <c r="C116" s="9" t="s">
        <v>35</v>
      </c>
      <c r="D116" s="9">
        <f>IF(D107&lt;14,D107-1,D107-13)</f>
        <v>1</v>
      </c>
    </row>
    <row r="117" spans="2:7" s="9" customFormat="1" x14ac:dyDescent="0.2">
      <c r="B117" s="9" t="s">
        <v>2</v>
      </c>
      <c r="C117" s="9" t="s">
        <v>61</v>
      </c>
      <c r="D117" s="9">
        <f>IF(D116&gt;2,D105-4716,D105-4715)</f>
        <v>2018</v>
      </c>
    </row>
    <row r="118" spans="2:7" x14ac:dyDescent="0.2">
      <c r="B118" s="50" t="s">
        <v>0</v>
      </c>
      <c r="C118" s="50" t="s">
        <v>38</v>
      </c>
      <c r="D118" s="51">
        <f>'Time of Minimum'!C34</f>
        <v>2458123.0346498997</v>
      </c>
      <c r="E118" s="50"/>
      <c r="F118" s="52" t="s">
        <v>79</v>
      </c>
    </row>
    <row r="119" spans="2:7" x14ac:dyDescent="0.2">
      <c r="B119" t="s">
        <v>19</v>
      </c>
      <c r="D119" s="7">
        <f>D118+0.5</f>
        <v>2458123.5346498997</v>
      </c>
    </row>
    <row r="120" spans="2:7" x14ac:dyDescent="0.2">
      <c r="B120" t="s">
        <v>20</v>
      </c>
      <c r="D120" s="7">
        <f>TRUNC(D119)</f>
        <v>2458123</v>
      </c>
    </row>
    <row r="121" spans="2:7" x14ac:dyDescent="0.2">
      <c r="B121" t="s">
        <v>22</v>
      </c>
      <c r="D121" s="7">
        <f>D119-D120</f>
        <v>0.5346498996950686</v>
      </c>
    </row>
    <row r="122" spans="2:7" x14ac:dyDescent="0.2">
      <c r="B122" t="s">
        <v>23</v>
      </c>
      <c r="D122">
        <f>TRUNC((D120-1867216.25)/36524.25)</f>
        <v>16</v>
      </c>
    </row>
    <row r="123" spans="2:7" x14ac:dyDescent="0.2">
      <c r="B123" t="s">
        <v>10</v>
      </c>
      <c r="D123">
        <f>IF(D120&lt;2299161,D120,(D120+1+D122-TRUNC(D122/4)))</f>
        <v>2458136</v>
      </c>
    </row>
    <row r="124" spans="2:7" x14ac:dyDescent="0.2">
      <c r="B124" t="s">
        <v>5</v>
      </c>
      <c r="D124">
        <f>D123+1524</f>
        <v>2459660</v>
      </c>
    </row>
    <row r="125" spans="2:7" x14ac:dyDescent="0.2">
      <c r="B125" t="s">
        <v>24</v>
      </c>
      <c r="D125">
        <f>TRUNC((D124-122.1)/365.25)</f>
        <v>6733</v>
      </c>
    </row>
    <row r="126" spans="2:7" x14ac:dyDescent="0.2">
      <c r="B126" t="s">
        <v>25</v>
      </c>
      <c r="D126">
        <f>TRUNC(365.25*D125)</f>
        <v>2459228</v>
      </c>
    </row>
    <row r="127" spans="2:7" x14ac:dyDescent="0.2">
      <c r="B127" t="s">
        <v>26</v>
      </c>
      <c r="D127">
        <f>TRUNC((D124-D126)/30.6001)</f>
        <v>14</v>
      </c>
    </row>
    <row r="128" spans="2:7" s="9" customFormat="1" x14ac:dyDescent="0.2">
      <c r="B128" s="9" t="s">
        <v>27</v>
      </c>
      <c r="C128" s="9" t="s">
        <v>34</v>
      </c>
      <c r="D128" s="12">
        <f>D124-D126-TRUNC(30.6001*D127)+D121</f>
        <v>4.5346498996950686</v>
      </c>
    </row>
    <row r="129" spans="2:7" s="9" customFormat="1" x14ac:dyDescent="0.2">
      <c r="B129" s="9" t="s">
        <v>67</v>
      </c>
      <c r="C129" s="9" t="s">
        <v>34</v>
      </c>
      <c r="D129" s="11">
        <f>INT(D128)</f>
        <v>4</v>
      </c>
    </row>
    <row r="130" spans="2:7" s="9" customFormat="1" x14ac:dyDescent="0.2">
      <c r="B130" s="9" t="s">
        <v>68</v>
      </c>
      <c r="C130" s="9" t="s">
        <v>58</v>
      </c>
      <c r="D130" s="12">
        <f>(D128-D129)*24</f>
        <v>12.831597592681646</v>
      </c>
    </row>
    <row r="131" spans="2:7" s="9" customFormat="1" x14ac:dyDescent="0.2">
      <c r="B131" s="9" t="s">
        <v>69</v>
      </c>
      <c r="C131" s="9" t="s">
        <v>58</v>
      </c>
      <c r="D131" s="11">
        <f>INT(D130)</f>
        <v>12</v>
      </c>
      <c r="F131" s="11" t="str">
        <f>IF(D131&lt;10,"0","")&amp;D131</f>
        <v>12</v>
      </c>
      <c r="G131" s="9" t="s">
        <v>112</v>
      </c>
    </row>
    <row r="132" spans="2:7" s="9" customFormat="1" x14ac:dyDescent="0.2">
      <c r="B132" s="9" t="s">
        <v>70</v>
      </c>
      <c r="C132" s="9" t="s">
        <v>59</v>
      </c>
      <c r="D132" s="12">
        <f>(D130-D131)*60</f>
        <v>49.895855560898781</v>
      </c>
      <c r="F132" s="11"/>
    </row>
    <row r="133" spans="2:7" s="9" customFormat="1" x14ac:dyDescent="0.2">
      <c r="B133" s="9" t="s">
        <v>71</v>
      </c>
      <c r="C133" s="9" t="s">
        <v>59</v>
      </c>
      <c r="D133" s="11">
        <f>INT(D132)</f>
        <v>49</v>
      </c>
      <c r="F133" s="11" t="str">
        <f t="shared" ref="F133:F135" si="4">IF(D133&lt;10,"0","")&amp;D133</f>
        <v>49</v>
      </c>
      <c r="G133" s="9" t="s">
        <v>112</v>
      </c>
    </row>
    <row r="134" spans="2:7" s="9" customFormat="1" x14ac:dyDescent="0.2">
      <c r="B134" s="9" t="s">
        <v>72</v>
      </c>
      <c r="C134" s="9" t="s">
        <v>60</v>
      </c>
      <c r="D134" s="12">
        <f>(D132-D133)*60</f>
        <v>53.751333653926849</v>
      </c>
      <c r="F134" s="11"/>
    </row>
    <row r="135" spans="2:7" s="9" customFormat="1" x14ac:dyDescent="0.2">
      <c r="B135" s="9" t="s">
        <v>73</v>
      </c>
      <c r="C135" s="9" t="s">
        <v>60</v>
      </c>
      <c r="D135" s="12">
        <f>ROUND(D134,0)</f>
        <v>54</v>
      </c>
      <c r="F135" s="11" t="str">
        <f t="shared" si="4"/>
        <v>54</v>
      </c>
      <c r="G135" s="9" t="s">
        <v>112</v>
      </c>
    </row>
    <row r="136" spans="2:7" s="9" customFormat="1" x14ac:dyDescent="0.2">
      <c r="B136" s="9" t="s">
        <v>3</v>
      </c>
      <c r="C136" s="9" t="s">
        <v>35</v>
      </c>
      <c r="D136" s="9">
        <f>IF(D127&lt;14,D127-1,D127-13)</f>
        <v>1</v>
      </c>
    </row>
    <row r="137" spans="2:7" s="9" customFormat="1" x14ac:dyDescent="0.2">
      <c r="B137" s="9" t="s">
        <v>2</v>
      </c>
      <c r="C137" s="9" t="s">
        <v>61</v>
      </c>
      <c r="D137" s="9">
        <f>IF(D136&gt;2,D125-4716,D125-4715)</f>
        <v>2018</v>
      </c>
    </row>
    <row r="138" spans="2:7" x14ac:dyDescent="0.2">
      <c r="B138" s="50" t="s">
        <v>0</v>
      </c>
      <c r="C138" s="50" t="s">
        <v>38</v>
      </c>
      <c r="D138" s="51">
        <f>'Time of Minimum'!C35</f>
        <v>2458124.2299001999</v>
      </c>
      <c r="E138" s="50"/>
      <c r="F138" s="52" t="s">
        <v>80</v>
      </c>
    </row>
    <row r="139" spans="2:7" x14ac:dyDescent="0.2">
      <c r="B139" t="s">
        <v>19</v>
      </c>
      <c r="D139" s="7">
        <f>D138+0.5</f>
        <v>2458124.7299001999</v>
      </c>
    </row>
    <row r="140" spans="2:7" x14ac:dyDescent="0.2">
      <c r="B140" t="s">
        <v>20</v>
      </c>
      <c r="D140" s="7">
        <f>TRUNC(D139)</f>
        <v>2458124</v>
      </c>
    </row>
    <row r="141" spans="2:7" x14ac:dyDescent="0.2">
      <c r="B141" t="s">
        <v>22</v>
      </c>
      <c r="D141" s="7">
        <f>D139-D140</f>
        <v>0.72990019991993904</v>
      </c>
    </row>
    <row r="142" spans="2:7" x14ac:dyDescent="0.2">
      <c r="B142" t="s">
        <v>23</v>
      </c>
      <c r="D142">
        <f>TRUNC((D140-1867216.25)/36524.25)</f>
        <v>16</v>
      </c>
    </row>
    <row r="143" spans="2:7" x14ac:dyDescent="0.2">
      <c r="B143" t="s">
        <v>10</v>
      </c>
      <c r="D143">
        <f>IF(D140&lt;2299161,D140,(D140+1+D142-TRUNC(D142/4)))</f>
        <v>2458137</v>
      </c>
    </row>
    <row r="144" spans="2:7" x14ac:dyDescent="0.2">
      <c r="B144" t="s">
        <v>5</v>
      </c>
      <c r="D144">
        <f>D143+1524</f>
        <v>2459661</v>
      </c>
    </row>
    <row r="145" spans="2:7" x14ac:dyDescent="0.2">
      <c r="B145" t="s">
        <v>24</v>
      </c>
      <c r="D145">
        <f>TRUNC((D144-122.1)/365.25)</f>
        <v>6733</v>
      </c>
    </row>
    <row r="146" spans="2:7" x14ac:dyDescent="0.2">
      <c r="B146" t="s">
        <v>25</v>
      </c>
      <c r="D146">
        <f>TRUNC(365.25*D145)</f>
        <v>2459228</v>
      </c>
    </row>
    <row r="147" spans="2:7" x14ac:dyDescent="0.2">
      <c r="B147" t="s">
        <v>26</v>
      </c>
      <c r="D147">
        <f>TRUNC((D144-D146)/30.6001)</f>
        <v>14</v>
      </c>
    </row>
    <row r="148" spans="2:7" s="9" customFormat="1" x14ac:dyDescent="0.2">
      <c r="B148" s="9" t="s">
        <v>27</v>
      </c>
      <c r="C148" s="9" t="s">
        <v>34</v>
      </c>
      <c r="D148" s="12">
        <f>D144-D146-TRUNC(30.6001*D147)+D141</f>
        <v>5.729900199919939</v>
      </c>
    </row>
    <row r="149" spans="2:7" s="9" customFormat="1" x14ac:dyDescent="0.2">
      <c r="B149" s="9" t="s">
        <v>67</v>
      </c>
      <c r="C149" s="9" t="s">
        <v>34</v>
      </c>
      <c r="D149" s="11">
        <f>INT(D148)</f>
        <v>5</v>
      </c>
    </row>
    <row r="150" spans="2:7" s="9" customFormat="1" x14ac:dyDescent="0.2">
      <c r="B150" s="9" t="s">
        <v>68</v>
      </c>
      <c r="C150" s="9" t="s">
        <v>58</v>
      </c>
      <c r="D150" s="12">
        <f>(D148-D149)*24</f>
        <v>17.517604798078537</v>
      </c>
    </row>
    <row r="151" spans="2:7" s="9" customFormat="1" x14ac:dyDescent="0.2">
      <c r="B151" s="9" t="s">
        <v>69</v>
      </c>
      <c r="C151" s="9" t="s">
        <v>58</v>
      </c>
      <c r="D151" s="11">
        <f>INT(D150)</f>
        <v>17</v>
      </c>
      <c r="F151" s="11" t="str">
        <f>IF(D151&lt;10,"0","")&amp;D151</f>
        <v>17</v>
      </c>
      <c r="G151" s="9" t="s">
        <v>112</v>
      </c>
    </row>
    <row r="152" spans="2:7" s="9" customFormat="1" x14ac:dyDescent="0.2">
      <c r="B152" s="9" t="s">
        <v>70</v>
      </c>
      <c r="C152" s="9" t="s">
        <v>59</v>
      </c>
      <c r="D152" s="12">
        <f>(D150-D151)*60</f>
        <v>31.056287884712219</v>
      </c>
      <c r="F152" s="11"/>
    </row>
    <row r="153" spans="2:7" s="9" customFormat="1" x14ac:dyDescent="0.2">
      <c r="B153" s="9" t="s">
        <v>71</v>
      </c>
      <c r="C153" s="9" t="s">
        <v>59</v>
      </c>
      <c r="D153" s="11">
        <f>INT(D152)</f>
        <v>31</v>
      </c>
      <c r="F153" s="11" t="str">
        <f t="shared" ref="F153:F155" si="5">IF(D153&lt;10,"0","")&amp;D153</f>
        <v>31</v>
      </c>
      <c r="G153" s="9" t="s">
        <v>112</v>
      </c>
    </row>
    <row r="154" spans="2:7" s="9" customFormat="1" x14ac:dyDescent="0.2">
      <c r="B154" s="9" t="s">
        <v>72</v>
      </c>
      <c r="C154" s="9" t="s">
        <v>60</v>
      </c>
      <c r="D154" s="12">
        <f>(D152-D153)*60</f>
        <v>3.3772730827331543</v>
      </c>
      <c r="F154" s="11"/>
    </row>
    <row r="155" spans="2:7" s="9" customFormat="1" x14ac:dyDescent="0.2">
      <c r="B155" s="9" t="s">
        <v>73</v>
      </c>
      <c r="C155" s="9" t="s">
        <v>60</v>
      </c>
      <c r="D155" s="12">
        <f>ROUND(D154,0)</f>
        <v>3</v>
      </c>
      <c r="F155" s="11" t="str">
        <f t="shared" si="5"/>
        <v>03</v>
      </c>
      <c r="G155" s="9" t="s">
        <v>112</v>
      </c>
    </row>
    <row r="156" spans="2:7" s="9" customFormat="1" x14ac:dyDescent="0.2">
      <c r="B156" s="9" t="s">
        <v>3</v>
      </c>
      <c r="C156" s="9" t="s">
        <v>35</v>
      </c>
      <c r="D156" s="9">
        <f>IF(D147&lt;14,D147-1,D147-13)</f>
        <v>1</v>
      </c>
    </row>
    <row r="157" spans="2:7" s="9" customFormat="1" x14ac:dyDescent="0.2">
      <c r="B157" s="9" t="s">
        <v>2</v>
      </c>
      <c r="C157" s="9" t="s">
        <v>61</v>
      </c>
      <c r="D157" s="9">
        <f>IF(D156&gt;2,D145-4716,D145-4715)</f>
        <v>2018</v>
      </c>
    </row>
    <row r="158" spans="2:7" x14ac:dyDescent="0.2">
      <c r="B158" s="50" t="s">
        <v>0</v>
      </c>
      <c r="C158" s="50" t="s">
        <v>38</v>
      </c>
      <c r="D158" s="51">
        <f>'Time of Minimum'!C36</f>
        <v>2458125.4251504997</v>
      </c>
      <c r="E158" s="50"/>
      <c r="F158" s="52" t="s">
        <v>81</v>
      </c>
    </row>
    <row r="159" spans="2:7" x14ac:dyDescent="0.2">
      <c r="B159" t="s">
        <v>19</v>
      </c>
      <c r="D159" s="7">
        <f>D158+0.5</f>
        <v>2458125.9251504997</v>
      </c>
    </row>
    <row r="160" spans="2:7" x14ac:dyDescent="0.2">
      <c r="B160" t="s">
        <v>20</v>
      </c>
      <c r="D160" s="7">
        <f>TRUNC(D159)</f>
        <v>2458125</v>
      </c>
    </row>
    <row r="161" spans="2:7" x14ac:dyDescent="0.2">
      <c r="B161" t="s">
        <v>22</v>
      </c>
      <c r="D161" s="7">
        <f>D159-D160</f>
        <v>0.9251504996791482</v>
      </c>
    </row>
    <row r="162" spans="2:7" x14ac:dyDescent="0.2">
      <c r="B162" t="s">
        <v>23</v>
      </c>
      <c r="D162">
        <f>TRUNC((D160-1867216.25)/36524.25)</f>
        <v>16</v>
      </c>
    </row>
    <row r="163" spans="2:7" x14ac:dyDescent="0.2">
      <c r="B163" t="s">
        <v>10</v>
      </c>
      <c r="D163">
        <f>IF(D160&lt;2299161,D160,(D160+1+D162-TRUNC(D162/4)))</f>
        <v>2458138</v>
      </c>
    </row>
    <row r="164" spans="2:7" x14ac:dyDescent="0.2">
      <c r="B164" t="s">
        <v>5</v>
      </c>
      <c r="D164">
        <f>D163+1524</f>
        <v>2459662</v>
      </c>
    </row>
    <row r="165" spans="2:7" x14ac:dyDescent="0.2">
      <c r="B165" t="s">
        <v>24</v>
      </c>
      <c r="D165">
        <f>TRUNC((D164-122.1)/365.25)</f>
        <v>6733</v>
      </c>
    </row>
    <row r="166" spans="2:7" x14ac:dyDescent="0.2">
      <c r="B166" t="s">
        <v>25</v>
      </c>
      <c r="D166">
        <f>TRUNC(365.25*D165)</f>
        <v>2459228</v>
      </c>
    </row>
    <row r="167" spans="2:7" x14ac:dyDescent="0.2">
      <c r="B167" t="s">
        <v>26</v>
      </c>
      <c r="D167">
        <f>TRUNC((D164-D166)/30.6001)</f>
        <v>14</v>
      </c>
    </row>
    <row r="168" spans="2:7" s="9" customFormat="1" x14ac:dyDescent="0.2">
      <c r="B168" s="9" t="s">
        <v>27</v>
      </c>
      <c r="C168" s="9" t="s">
        <v>34</v>
      </c>
      <c r="D168" s="12">
        <f>D164-D166-TRUNC(30.6001*D167)+D161</f>
        <v>6.9251504996791482</v>
      </c>
    </row>
    <row r="169" spans="2:7" s="9" customFormat="1" x14ac:dyDescent="0.2">
      <c r="B169" s="9" t="s">
        <v>67</v>
      </c>
      <c r="C169" s="9" t="s">
        <v>34</v>
      </c>
      <c r="D169" s="11">
        <f>INT(D168)</f>
        <v>6</v>
      </c>
    </row>
    <row r="170" spans="2:7" s="9" customFormat="1" x14ac:dyDescent="0.2">
      <c r="B170" s="9" t="s">
        <v>68</v>
      </c>
      <c r="C170" s="9" t="s">
        <v>58</v>
      </c>
      <c r="D170" s="12">
        <f>(D168-D169)*24</f>
        <v>22.203611992299557</v>
      </c>
    </row>
    <row r="171" spans="2:7" s="9" customFormat="1" x14ac:dyDescent="0.2">
      <c r="B171" s="9" t="s">
        <v>69</v>
      </c>
      <c r="C171" s="9" t="s">
        <v>58</v>
      </c>
      <c r="D171" s="11">
        <f>INT(D170)</f>
        <v>22</v>
      </c>
      <c r="F171" s="11" t="str">
        <f>IF(D171&lt;10,"0","")&amp;D171</f>
        <v>22</v>
      </c>
      <c r="G171" s="9" t="s">
        <v>112</v>
      </c>
    </row>
    <row r="172" spans="2:7" s="9" customFormat="1" x14ac:dyDescent="0.2">
      <c r="B172" s="9" t="s">
        <v>70</v>
      </c>
      <c r="C172" s="9" t="s">
        <v>59</v>
      </c>
      <c r="D172" s="12">
        <f>(D170-D171)*60</f>
        <v>12.216719537973404</v>
      </c>
      <c r="F172" s="11"/>
    </row>
    <row r="173" spans="2:7" s="9" customFormat="1" x14ac:dyDescent="0.2">
      <c r="B173" s="9" t="s">
        <v>71</v>
      </c>
      <c r="C173" s="9" t="s">
        <v>59</v>
      </c>
      <c r="D173" s="11">
        <f>INT(D172)</f>
        <v>12</v>
      </c>
      <c r="F173" s="11" t="str">
        <f t="shared" ref="F173:F175" si="6">IF(D173&lt;10,"0","")&amp;D173</f>
        <v>12</v>
      </c>
      <c r="G173" s="9" t="s">
        <v>112</v>
      </c>
    </row>
    <row r="174" spans="2:7" s="9" customFormat="1" x14ac:dyDescent="0.2">
      <c r="B174" s="9" t="s">
        <v>72</v>
      </c>
      <c r="C174" s="9" t="s">
        <v>60</v>
      </c>
      <c r="D174" s="12">
        <f>(D172-D173)*60</f>
        <v>13.003172278404236</v>
      </c>
      <c r="F174" s="11"/>
    </row>
    <row r="175" spans="2:7" s="9" customFormat="1" x14ac:dyDescent="0.2">
      <c r="B175" s="9" t="s">
        <v>73</v>
      </c>
      <c r="C175" s="9" t="s">
        <v>60</v>
      </c>
      <c r="D175" s="12">
        <f>ROUND(D174,0)</f>
        <v>13</v>
      </c>
      <c r="F175" s="11" t="str">
        <f t="shared" si="6"/>
        <v>13</v>
      </c>
      <c r="G175" s="9" t="s">
        <v>112</v>
      </c>
    </row>
    <row r="176" spans="2:7" s="9" customFormat="1" x14ac:dyDescent="0.2">
      <c r="B176" s="9" t="s">
        <v>3</v>
      </c>
      <c r="C176" s="9" t="s">
        <v>35</v>
      </c>
      <c r="D176" s="9">
        <f>IF(D167&lt;14,D167-1,D167-13)</f>
        <v>1</v>
      </c>
    </row>
    <row r="177" spans="2:7" s="9" customFormat="1" x14ac:dyDescent="0.2">
      <c r="B177" s="9" t="s">
        <v>2</v>
      </c>
      <c r="C177" s="9" t="s">
        <v>61</v>
      </c>
      <c r="D177" s="9">
        <f>IF(D176&gt;2,D165-4716,D165-4715)</f>
        <v>2018</v>
      </c>
    </row>
    <row r="178" spans="2:7" x14ac:dyDescent="0.2">
      <c r="B178" s="50" t="s">
        <v>0</v>
      </c>
      <c r="C178" s="50" t="s">
        <v>38</v>
      </c>
      <c r="D178" s="51">
        <f>'Time of Minimum'!C37</f>
        <v>2458126.6204007999</v>
      </c>
      <c r="E178" s="50"/>
      <c r="F178" s="52" t="s">
        <v>82</v>
      </c>
    </row>
    <row r="179" spans="2:7" x14ac:dyDescent="0.2">
      <c r="B179" t="s">
        <v>19</v>
      </c>
      <c r="D179" s="7">
        <f>D178+0.5</f>
        <v>2458127.1204007999</v>
      </c>
    </row>
    <row r="180" spans="2:7" x14ac:dyDescent="0.2">
      <c r="B180" t="s">
        <v>20</v>
      </c>
      <c r="D180" s="7">
        <f>TRUNC(D179)</f>
        <v>2458127</v>
      </c>
    </row>
    <row r="181" spans="2:7" x14ac:dyDescent="0.2">
      <c r="B181" t="s">
        <v>22</v>
      </c>
      <c r="D181" s="7">
        <f>D179-D180</f>
        <v>0.12040079990401864</v>
      </c>
    </row>
    <row r="182" spans="2:7" x14ac:dyDescent="0.2">
      <c r="B182" t="s">
        <v>23</v>
      </c>
      <c r="D182">
        <f>TRUNC((D180-1867216.25)/36524.25)</f>
        <v>16</v>
      </c>
    </row>
    <row r="183" spans="2:7" x14ac:dyDescent="0.2">
      <c r="B183" t="s">
        <v>10</v>
      </c>
      <c r="D183">
        <f>IF(D180&lt;2299161,D180,(D180+1+D182-TRUNC(D182/4)))</f>
        <v>2458140</v>
      </c>
    </row>
    <row r="184" spans="2:7" x14ac:dyDescent="0.2">
      <c r="B184" t="s">
        <v>5</v>
      </c>
      <c r="D184">
        <f>D183+1524</f>
        <v>2459664</v>
      </c>
    </row>
    <row r="185" spans="2:7" x14ac:dyDescent="0.2">
      <c r="B185" t="s">
        <v>24</v>
      </c>
      <c r="D185">
        <f>TRUNC((D184-122.1)/365.25)</f>
        <v>6733</v>
      </c>
    </row>
    <row r="186" spans="2:7" x14ac:dyDescent="0.2">
      <c r="B186" t="s">
        <v>25</v>
      </c>
      <c r="D186">
        <f>TRUNC(365.25*D185)</f>
        <v>2459228</v>
      </c>
    </row>
    <row r="187" spans="2:7" x14ac:dyDescent="0.2">
      <c r="B187" t="s">
        <v>26</v>
      </c>
      <c r="D187">
        <f>TRUNC((D184-D186)/30.6001)</f>
        <v>14</v>
      </c>
    </row>
    <row r="188" spans="2:7" s="9" customFormat="1" x14ac:dyDescent="0.2">
      <c r="B188" s="9" t="s">
        <v>27</v>
      </c>
      <c r="C188" s="9" t="s">
        <v>34</v>
      </c>
      <c r="D188" s="12">
        <f>D184-D186-TRUNC(30.6001*D187)+D181</f>
        <v>8.1204007999040186</v>
      </c>
    </row>
    <row r="189" spans="2:7" s="9" customFormat="1" x14ac:dyDescent="0.2">
      <c r="B189" s="9" t="s">
        <v>67</v>
      </c>
      <c r="C189" s="9" t="s">
        <v>34</v>
      </c>
      <c r="D189" s="11">
        <f>INT(D188)</f>
        <v>8</v>
      </c>
    </row>
    <row r="190" spans="2:7" s="9" customFormat="1" x14ac:dyDescent="0.2">
      <c r="B190" s="9" t="s">
        <v>68</v>
      </c>
      <c r="C190" s="9" t="s">
        <v>58</v>
      </c>
      <c r="D190" s="12">
        <f>(D188-D189)*24</f>
        <v>2.8896191976964474</v>
      </c>
    </row>
    <row r="191" spans="2:7" s="9" customFormat="1" x14ac:dyDescent="0.2">
      <c r="B191" s="9" t="s">
        <v>69</v>
      </c>
      <c r="C191" s="9" t="s">
        <v>58</v>
      </c>
      <c r="D191" s="11">
        <f>INT(D190)</f>
        <v>2</v>
      </c>
      <c r="F191" s="11" t="str">
        <f>IF(D191&lt;10,"0","")&amp;D191</f>
        <v>02</v>
      </c>
      <c r="G191" s="9" t="s">
        <v>112</v>
      </c>
    </row>
    <row r="192" spans="2:7" s="9" customFormat="1" x14ac:dyDescent="0.2">
      <c r="B192" s="9" t="s">
        <v>70</v>
      </c>
      <c r="C192" s="9" t="s">
        <v>59</v>
      </c>
      <c r="D192" s="12">
        <f>(D190-D191)*60</f>
        <v>53.377151861786842</v>
      </c>
      <c r="F192" s="11"/>
    </row>
    <row r="193" spans="2:7" s="9" customFormat="1" x14ac:dyDescent="0.2">
      <c r="B193" s="9" t="s">
        <v>71</v>
      </c>
      <c r="C193" s="9" t="s">
        <v>59</v>
      </c>
      <c r="D193" s="11">
        <f>INT(D192)</f>
        <v>53</v>
      </c>
      <c r="F193" s="11" t="str">
        <f t="shared" ref="F193:F195" si="7">IF(D193&lt;10,"0","")&amp;D193</f>
        <v>53</v>
      </c>
      <c r="G193" s="9" t="s">
        <v>112</v>
      </c>
    </row>
    <row r="194" spans="2:7" s="9" customFormat="1" x14ac:dyDescent="0.2">
      <c r="B194" s="9" t="s">
        <v>72</v>
      </c>
      <c r="C194" s="9" t="s">
        <v>60</v>
      </c>
      <c r="D194" s="12">
        <f>(D192-D193)*60</f>
        <v>22.629111707210541</v>
      </c>
      <c r="F194" s="11"/>
    </row>
    <row r="195" spans="2:7" s="9" customFormat="1" x14ac:dyDescent="0.2">
      <c r="B195" s="9" t="s">
        <v>73</v>
      </c>
      <c r="C195" s="9" t="s">
        <v>60</v>
      </c>
      <c r="D195" s="12">
        <f>ROUND(D194,0)</f>
        <v>23</v>
      </c>
      <c r="F195" s="11" t="str">
        <f t="shared" si="7"/>
        <v>23</v>
      </c>
      <c r="G195" s="9" t="s">
        <v>112</v>
      </c>
    </row>
    <row r="196" spans="2:7" s="9" customFormat="1" x14ac:dyDescent="0.2">
      <c r="B196" s="9" t="s">
        <v>3</v>
      </c>
      <c r="C196" s="9" t="s">
        <v>35</v>
      </c>
      <c r="D196" s="9">
        <f>IF(D187&lt;14,D187-1,D187-13)</f>
        <v>1</v>
      </c>
    </row>
    <row r="197" spans="2:7" s="9" customFormat="1" x14ac:dyDescent="0.2">
      <c r="B197" s="9" t="s">
        <v>2</v>
      </c>
      <c r="C197" s="9" t="s">
        <v>61</v>
      </c>
      <c r="D197" s="9">
        <f>IF(D196&gt;2,D185-4716,D185-4715)</f>
        <v>2018</v>
      </c>
    </row>
    <row r="198" spans="2:7" x14ac:dyDescent="0.2">
      <c r="B198" s="50" t="s">
        <v>0</v>
      </c>
      <c r="C198" s="50" t="s">
        <v>38</v>
      </c>
      <c r="D198" s="51">
        <f>'Time of Minimum'!C38</f>
        <v>2458127.8156510997</v>
      </c>
      <c r="E198" s="50"/>
      <c r="F198" s="52" t="s">
        <v>83</v>
      </c>
    </row>
    <row r="199" spans="2:7" x14ac:dyDescent="0.2">
      <c r="B199" t="s">
        <v>19</v>
      </c>
      <c r="D199" s="7">
        <f>D198+0.5</f>
        <v>2458128.3156510997</v>
      </c>
    </row>
    <row r="200" spans="2:7" x14ac:dyDescent="0.2">
      <c r="B200" t="s">
        <v>20</v>
      </c>
      <c r="D200" s="7">
        <f>TRUNC(D199)</f>
        <v>2458128</v>
      </c>
    </row>
    <row r="201" spans="2:7" x14ac:dyDescent="0.2">
      <c r="B201" t="s">
        <v>22</v>
      </c>
      <c r="D201" s="7">
        <f>D199-D200</f>
        <v>0.3156510996632278</v>
      </c>
    </row>
    <row r="202" spans="2:7" x14ac:dyDescent="0.2">
      <c r="B202" t="s">
        <v>23</v>
      </c>
      <c r="D202">
        <f>TRUNC((D200-1867216.25)/36524.25)</f>
        <v>16</v>
      </c>
    </row>
    <row r="203" spans="2:7" x14ac:dyDescent="0.2">
      <c r="B203" t="s">
        <v>10</v>
      </c>
      <c r="D203">
        <f>IF(D200&lt;2299161,D200,(D200+1+D202-TRUNC(D202/4)))</f>
        <v>2458141</v>
      </c>
    </row>
    <row r="204" spans="2:7" x14ac:dyDescent="0.2">
      <c r="B204" t="s">
        <v>5</v>
      </c>
      <c r="D204">
        <f>D203+1524</f>
        <v>2459665</v>
      </c>
    </row>
    <row r="205" spans="2:7" x14ac:dyDescent="0.2">
      <c r="B205" t="s">
        <v>24</v>
      </c>
      <c r="D205">
        <f>TRUNC((D204-122.1)/365.25)</f>
        <v>6733</v>
      </c>
    </row>
    <row r="206" spans="2:7" x14ac:dyDescent="0.2">
      <c r="B206" t="s">
        <v>25</v>
      </c>
      <c r="D206">
        <f>TRUNC(365.25*D205)</f>
        <v>2459228</v>
      </c>
    </row>
    <row r="207" spans="2:7" x14ac:dyDescent="0.2">
      <c r="B207" t="s">
        <v>26</v>
      </c>
      <c r="D207">
        <f>TRUNC((D204-D206)/30.6001)</f>
        <v>14</v>
      </c>
    </row>
    <row r="208" spans="2:7" s="9" customFormat="1" x14ac:dyDescent="0.2">
      <c r="B208" s="9" t="s">
        <v>27</v>
      </c>
      <c r="C208" s="9" t="s">
        <v>34</v>
      </c>
      <c r="D208" s="12">
        <f>D204-D206-TRUNC(30.6001*D207)+D201</f>
        <v>9.3156510996632278</v>
      </c>
    </row>
    <row r="209" spans="2:7" s="9" customFormat="1" x14ac:dyDescent="0.2">
      <c r="B209" s="9" t="s">
        <v>67</v>
      </c>
      <c r="C209" s="9" t="s">
        <v>34</v>
      </c>
      <c r="D209" s="11">
        <f>INT(D208)</f>
        <v>9</v>
      </c>
    </row>
    <row r="210" spans="2:7" s="9" customFormat="1" x14ac:dyDescent="0.2">
      <c r="B210" s="9" t="s">
        <v>68</v>
      </c>
      <c r="C210" s="9" t="s">
        <v>58</v>
      </c>
      <c r="D210" s="12">
        <f>(D208-D209)*24</f>
        <v>7.5756263919174671</v>
      </c>
    </row>
    <row r="211" spans="2:7" s="9" customFormat="1" x14ac:dyDescent="0.2">
      <c r="B211" s="9" t="s">
        <v>69</v>
      </c>
      <c r="C211" s="9" t="s">
        <v>58</v>
      </c>
      <c r="D211" s="11">
        <f>INT(D210)</f>
        <v>7</v>
      </c>
      <c r="F211" s="11" t="str">
        <f>IF(D211&lt;10,"0","")&amp;D211</f>
        <v>07</v>
      </c>
      <c r="G211" s="9" t="s">
        <v>112</v>
      </c>
    </row>
    <row r="212" spans="2:7" s="9" customFormat="1" x14ac:dyDescent="0.2">
      <c r="B212" s="9" t="s">
        <v>70</v>
      </c>
      <c r="C212" s="9" t="s">
        <v>59</v>
      </c>
      <c r="D212" s="12">
        <f>(D210-D211)*60</f>
        <v>34.537583515048027</v>
      </c>
      <c r="F212" s="11"/>
    </row>
    <row r="213" spans="2:7" s="9" customFormat="1" x14ac:dyDescent="0.2">
      <c r="B213" s="9" t="s">
        <v>71</v>
      </c>
      <c r="C213" s="9" t="s">
        <v>59</v>
      </c>
      <c r="D213" s="11">
        <f>INT(D212)</f>
        <v>34</v>
      </c>
      <c r="F213" s="11" t="str">
        <f t="shared" ref="F213:F215" si="8">IF(D213&lt;10,"0","")&amp;D213</f>
        <v>34</v>
      </c>
      <c r="G213" s="9" t="s">
        <v>112</v>
      </c>
    </row>
    <row r="214" spans="2:7" s="9" customFormat="1" x14ac:dyDescent="0.2">
      <c r="B214" s="9" t="s">
        <v>72</v>
      </c>
      <c r="C214" s="9" t="s">
        <v>60</v>
      </c>
      <c r="D214" s="12">
        <f>(D212-D213)*60</f>
        <v>32.255010902881622</v>
      </c>
      <c r="F214" s="11"/>
    </row>
    <row r="215" spans="2:7" s="9" customFormat="1" x14ac:dyDescent="0.2">
      <c r="B215" s="9" t="s">
        <v>73</v>
      </c>
      <c r="C215" s="9" t="s">
        <v>60</v>
      </c>
      <c r="D215" s="12">
        <f>ROUND(D214,0)</f>
        <v>32</v>
      </c>
      <c r="F215" s="11" t="str">
        <f t="shared" si="8"/>
        <v>32</v>
      </c>
      <c r="G215" s="9" t="s">
        <v>112</v>
      </c>
    </row>
    <row r="216" spans="2:7" s="9" customFormat="1" x14ac:dyDescent="0.2">
      <c r="B216" s="9" t="s">
        <v>3</v>
      </c>
      <c r="C216" s="9" t="s">
        <v>35</v>
      </c>
      <c r="D216" s="9">
        <f>IF(D207&lt;14,D207-1,D207-13)</f>
        <v>1</v>
      </c>
    </row>
    <row r="217" spans="2:7" s="9" customFormat="1" x14ac:dyDescent="0.2">
      <c r="B217" s="9" t="s">
        <v>2</v>
      </c>
      <c r="C217" s="9" t="s">
        <v>61</v>
      </c>
      <c r="D217" s="9">
        <f>IF(D216&gt;2,D205-4716,D205-4715)</f>
        <v>2018</v>
      </c>
    </row>
    <row r="218" spans="2:7" x14ac:dyDescent="0.2">
      <c r="B218" s="50" t="s">
        <v>0</v>
      </c>
      <c r="C218" s="50" t="s">
        <v>38</v>
      </c>
      <c r="D218" s="51">
        <f>'Time of Minimum'!C39</f>
        <v>2458129.0109013999</v>
      </c>
      <c r="E218" s="50"/>
      <c r="F218" s="52" t="s">
        <v>84</v>
      </c>
    </row>
    <row r="219" spans="2:7" x14ac:dyDescent="0.2">
      <c r="B219" t="s">
        <v>19</v>
      </c>
      <c r="D219" s="7">
        <f>D218+0.5</f>
        <v>2458129.5109013999</v>
      </c>
    </row>
    <row r="220" spans="2:7" x14ac:dyDescent="0.2">
      <c r="B220" t="s">
        <v>20</v>
      </c>
      <c r="D220" s="7">
        <f>TRUNC(D219)</f>
        <v>2458129</v>
      </c>
    </row>
    <row r="221" spans="2:7" x14ac:dyDescent="0.2">
      <c r="B221" t="s">
        <v>22</v>
      </c>
      <c r="D221" s="7">
        <f>D219-D220</f>
        <v>0.51090139988809824</v>
      </c>
    </row>
    <row r="222" spans="2:7" x14ac:dyDescent="0.2">
      <c r="B222" t="s">
        <v>23</v>
      </c>
      <c r="D222">
        <f>TRUNC((D220-1867216.25)/36524.25)</f>
        <v>16</v>
      </c>
    </row>
    <row r="223" spans="2:7" x14ac:dyDescent="0.2">
      <c r="B223" t="s">
        <v>10</v>
      </c>
      <c r="D223">
        <f>IF(D220&lt;2299161,D220,(D220+1+D222-TRUNC(D222/4)))</f>
        <v>2458142</v>
      </c>
    </row>
    <row r="224" spans="2:7" x14ac:dyDescent="0.2">
      <c r="B224" t="s">
        <v>5</v>
      </c>
      <c r="D224">
        <f>D223+1524</f>
        <v>2459666</v>
      </c>
    </row>
    <row r="225" spans="2:7" x14ac:dyDescent="0.2">
      <c r="B225" t="s">
        <v>24</v>
      </c>
      <c r="D225">
        <f>TRUNC((D224-122.1)/365.25)</f>
        <v>6733</v>
      </c>
    </row>
    <row r="226" spans="2:7" x14ac:dyDescent="0.2">
      <c r="B226" t="s">
        <v>25</v>
      </c>
      <c r="D226">
        <f>TRUNC(365.25*D225)</f>
        <v>2459228</v>
      </c>
    </row>
    <row r="227" spans="2:7" x14ac:dyDescent="0.2">
      <c r="B227" t="s">
        <v>26</v>
      </c>
      <c r="D227">
        <f>TRUNC((D224-D226)/30.6001)</f>
        <v>14</v>
      </c>
    </row>
    <row r="228" spans="2:7" s="9" customFormat="1" x14ac:dyDescent="0.2">
      <c r="B228" s="9" t="s">
        <v>27</v>
      </c>
      <c r="C228" s="9" t="s">
        <v>34</v>
      </c>
      <c r="D228" s="12">
        <f>D224-D226-TRUNC(30.6001*D227)+D221</f>
        <v>10.510901399888098</v>
      </c>
    </row>
    <row r="229" spans="2:7" s="9" customFormat="1" x14ac:dyDescent="0.2">
      <c r="B229" s="9" t="s">
        <v>67</v>
      </c>
      <c r="C229" s="9" t="s">
        <v>34</v>
      </c>
      <c r="D229" s="11">
        <f>INT(D228)</f>
        <v>10</v>
      </c>
    </row>
    <row r="230" spans="2:7" s="9" customFormat="1" x14ac:dyDescent="0.2">
      <c r="B230" s="9" t="s">
        <v>68</v>
      </c>
      <c r="C230" s="9" t="s">
        <v>58</v>
      </c>
      <c r="D230" s="12">
        <f>(D228-D229)*24</f>
        <v>12.261633597314358</v>
      </c>
    </row>
    <row r="231" spans="2:7" s="9" customFormat="1" x14ac:dyDescent="0.2">
      <c r="B231" s="9" t="s">
        <v>69</v>
      </c>
      <c r="C231" s="9" t="s">
        <v>58</v>
      </c>
      <c r="D231" s="11">
        <f>INT(D230)</f>
        <v>12</v>
      </c>
      <c r="F231" s="11" t="str">
        <f>IF(D231&lt;10,"0","")&amp;D231</f>
        <v>12</v>
      </c>
      <c r="G231" s="9" t="s">
        <v>112</v>
      </c>
    </row>
    <row r="232" spans="2:7" s="9" customFormat="1" x14ac:dyDescent="0.2">
      <c r="B232" s="9" t="s">
        <v>70</v>
      </c>
      <c r="C232" s="9" t="s">
        <v>59</v>
      </c>
      <c r="D232" s="12">
        <f>(D230-D231)*60</f>
        <v>15.698015838861465</v>
      </c>
      <c r="F232" s="11"/>
    </row>
    <row r="233" spans="2:7" s="9" customFormat="1" x14ac:dyDescent="0.2">
      <c r="B233" s="9" t="s">
        <v>71</v>
      </c>
      <c r="C233" s="9" t="s">
        <v>59</v>
      </c>
      <c r="D233" s="11">
        <f>INT(D232)</f>
        <v>15</v>
      </c>
      <c r="F233" s="11" t="str">
        <f t="shared" ref="F233:F235" si="9">IF(D233&lt;10,"0","")&amp;D233</f>
        <v>15</v>
      </c>
      <c r="G233" s="9" t="s">
        <v>112</v>
      </c>
    </row>
    <row r="234" spans="2:7" s="9" customFormat="1" x14ac:dyDescent="0.2">
      <c r="B234" s="9" t="s">
        <v>72</v>
      </c>
      <c r="C234" s="9" t="s">
        <v>60</v>
      </c>
      <c r="D234" s="12">
        <f>(D232-D233)*60</f>
        <v>41.880950331687927</v>
      </c>
      <c r="F234" s="11"/>
    </row>
    <row r="235" spans="2:7" s="9" customFormat="1" x14ac:dyDescent="0.2">
      <c r="B235" s="9" t="s">
        <v>73</v>
      </c>
      <c r="C235" s="9" t="s">
        <v>60</v>
      </c>
      <c r="D235" s="12">
        <f>ROUND(D234,0)</f>
        <v>42</v>
      </c>
      <c r="F235" s="11" t="str">
        <f t="shared" si="9"/>
        <v>42</v>
      </c>
      <c r="G235" s="9" t="s">
        <v>112</v>
      </c>
    </row>
    <row r="236" spans="2:7" s="9" customFormat="1" x14ac:dyDescent="0.2">
      <c r="B236" s="9" t="s">
        <v>3</v>
      </c>
      <c r="C236" s="9" t="s">
        <v>35</v>
      </c>
      <c r="D236" s="9">
        <f>IF(D227&lt;14,D227-1,D227-13)</f>
        <v>1</v>
      </c>
    </row>
    <row r="237" spans="2:7" s="9" customFormat="1" x14ac:dyDescent="0.2">
      <c r="B237" s="9" t="s">
        <v>2</v>
      </c>
      <c r="C237" s="9" t="s">
        <v>61</v>
      </c>
      <c r="D237" s="9">
        <f>IF(D236&gt;2,D225-4716,D225-4715)</f>
        <v>2018</v>
      </c>
    </row>
    <row r="238" spans="2:7" x14ac:dyDescent="0.2">
      <c r="B238" s="50" t="s">
        <v>0</v>
      </c>
      <c r="C238" s="50" t="s">
        <v>38</v>
      </c>
      <c r="D238" s="51">
        <f>'Time of Minimum'!C40</f>
        <v>2458130.2061516996</v>
      </c>
      <c r="E238" s="50"/>
      <c r="F238" s="52" t="s">
        <v>85</v>
      </c>
    </row>
    <row r="239" spans="2:7" x14ac:dyDescent="0.2">
      <c r="B239" t="s">
        <v>19</v>
      </c>
      <c r="D239" s="7">
        <f>D238+0.5</f>
        <v>2458130.7061516996</v>
      </c>
    </row>
    <row r="240" spans="2:7" x14ac:dyDescent="0.2">
      <c r="B240" t="s">
        <v>20</v>
      </c>
      <c r="D240" s="7">
        <f>TRUNC(D239)</f>
        <v>2458130</v>
      </c>
    </row>
    <row r="241" spans="2:7" x14ac:dyDescent="0.2">
      <c r="B241" t="s">
        <v>22</v>
      </c>
      <c r="D241" s="7">
        <f>D239-D240</f>
        <v>0.7061516996473074</v>
      </c>
    </row>
    <row r="242" spans="2:7" x14ac:dyDescent="0.2">
      <c r="B242" t="s">
        <v>23</v>
      </c>
      <c r="D242">
        <f>TRUNC((D240-1867216.25)/36524.25)</f>
        <v>16</v>
      </c>
    </row>
    <row r="243" spans="2:7" x14ac:dyDescent="0.2">
      <c r="B243" t="s">
        <v>10</v>
      </c>
      <c r="D243">
        <f>IF(D240&lt;2299161,D240,(D240+1+D242-TRUNC(D242/4)))</f>
        <v>2458143</v>
      </c>
    </row>
    <row r="244" spans="2:7" x14ac:dyDescent="0.2">
      <c r="B244" t="s">
        <v>5</v>
      </c>
      <c r="D244">
        <f>D243+1524</f>
        <v>2459667</v>
      </c>
    </row>
    <row r="245" spans="2:7" x14ac:dyDescent="0.2">
      <c r="B245" t="s">
        <v>24</v>
      </c>
      <c r="D245">
        <f>TRUNC((D244-122.1)/365.25)</f>
        <v>6733</v>
      </c>
    </row>
    <row r="246" spans="2:7" x14ac:dyDescent="0.2">
      <c r="B246" t="s">
        <v>25</v>
      </c>
      <c r="D246">
        <f>TRUNC(365.25*D245)</f>
        <v>2459228</v>
      </c>
    </row>
    <row r="247" spans="2:7" x14ac:dyDescent="0.2">
      <c r="B247" t="s">
        <v>26</v>
      </c>
      <c r="D247">
        <f>TRUNC((D244-D246)/30.6001)</f>
        <v>14</v>
      </c>
    </row>
    <row r="248" spans="2:7" s="9" customFormat="1" x14ac:dyDescent="0.2">
      <c r="B248" s="9" t="s">
        <v>27</v>
      </c>
      <c r="C248" s="9" t="s">
        <v>34</v>
      </c>
      <c r="D248" s="12">
        <f>D244-D246-TRUNC(30.6001*D247)+D241</f>
        <v>11.706151699647307</v>
      </c>
    </row>
    <row r="249" spans="2:7" s="9" customFormat="1" x14ac:dyDescent="0.2">
      <c r="B249" s="9" t="s">
        <v>67</v>
      </c>
      <c r="C249" s="9" t="s">
        <v>34</v>
      </c>
      <c r="D249" s="11">
        <f>INT(D248)</f>
        <v>11</v>
      </c>
    </row>
    <row r="250" spans="2:7" s="9" customFormat="1" x14ac:dyDescent="0.2">
      <c r="B250" s="9" t="s">
        <v>68</v>
      </c>
      <c r="C250" s="9" t="s">
        <v>58</v>
      </c>
      <c r="D250" s="12">
        <f>(D248-D249)*24</f>
        <v>16.947640791535378</v>
      </c>
    </row>
    <row r="251" spans="2:7" s="9" customFormat="1" x14ac:dyDescent="0.2">
      <c r="B251" s="9" t="s">
        <v>69</v>
      </c>
      <c r="C251" s="9" t="s">
        <v>58</v>
      </c>
      <c r="D251" s="11">
        <f>INT(D250)</f>
        <v>16</v>
      </c>
      <c r="F251" s="11" t="str">
        <f>IF(D251&lt;10,"0","")&amp;D251</f>
        <v>16</v>
      </c>
      <c r="G251" s="9" t="s">
        <v>112</v>
      </c>
    </row>
    <row r="252" spans="2:7" s="9" customFormat="1" x14ac:dyDescent="0.2">
      <c r="B252" s="9" t="s">
        <v>70</v>
      </c>
      <c r="C252" s="9" t="s">
        <v>59</v>
      </c>
      <c r="D252" s="12">
        <f>(D250-D251)*60</f>
        <v>56.85844749212265</v>
      </c>
      <c r="F252" s="11"/>
    </row>
    <row r="253" spans="2:7" s="9" customFormat="1" x14ac:dyDescent="0.2">
      <c r="B253" s="9" t="s">
        <v>71</v>
      </c>
      <c r="C253" s="9" t="s">
        <v>59</v>
      </c>
      <c r="D253" s="11">
        <f>INT(D252)</f>
        <v>56</v>
      </c>
      <c r="F253" s="11" t="str">
        <f t="shared" ref="F253:F255" si="10">IF(D253&lt;10,"0","")&amp;D253</f>
        <v>56</v>
      </c>
      <c r="G253" s="9" t="s">
        <v>112</v>
      </c>
    </row>
    <row r="254" spans="2:7" s="9" customFormat="1" x14ac:dyDescent="0.2">
      <c r="B254" s="9" t="s">
        <v>72</v>
      </c>
      <c r="C254" s="9" t="s">
        <v>60</v>
      </c>
      <c r="D254" s="12">
        <f>(D252-D253)*60</f>
        <v>51.506849527359009</v>
      </c>
      <c r="F254" s="11"/>
    </row>
    <row r="255" spans="2:7" s="9" customFormat="1" x14ac:dyDescent="0.2">
      <c r="B255" s="9" t="s">
        <v>73</v>
      </c>
      <c r="C255" s="9" t="s">
        <v>60</v>
      </c>
      <c r="D255" s="12">
        <f>ROUND(D254,0)</f>
        <v>52</v>
      </c>
      <c r="F255" s="11" t="str">
        <f t="shared" si="10"/>
        <v>52</v>
      </c>
      <c r="G255" s="9" t="s">
        <v>112</v>
      </c>
    </row>
    <row r="256" spans="2:7" s="9" customFormat="1" x14ac:dyDescent="0.2">
      <c r="B256" s="9" t="s">
        <v>3</v>
      </c>
      <c r="C256" s="9" t="s">
        <v>35</v>
      </c>
      <c r="D256" s="9">
        <f>IF(D247&lt;14,D247-1,D247-13)</f>
        <v>1</v>
      </c>
    </row>
    <row r="257" spans="2:7" s="9" customFormat="1" x14ac:dyDescent="0.2">
      <c r="B257" s="9" t="s">
        <v>2</v>
      </c>
      <c r="C257" s="9" t="s">
        <v>61</v>
      </c>
      <c r="D257" s="9">
        <f>IF(D256&gt;2,D245-4716,D245-4715)</f>
        <v>2018</v>
      </c>
    </row>
    <row r="258" spans="2:7" x14ac:dyDescent="0.2">
      <c r="B258" s="50" t="s">
        <v>0</v>
      </c>
      <c r="C258" s="50" t="s">
        <v>38</v>
      </c>
      <c r="D258" s="51">
        <f>'Time of Minimum'!C41</f>
        <v>2458131.4014019999</v>
      </c>
      <c r="E258" s="50"/>
      <c r="F258" s="52" t="s">
        <v>86</v>
      </c>
    </row>
    <row r="259" spans="2:7" x14ac:dyDescent="0.2">
      <c r="B259" t="s">
        <v>19</v>
      </c>
      <c r="D259" s="7">
        <f>D258+0.5</f>
        <v>2458131.9014019999</v>
      </c>
    </row>
    <row r="260" spans="2:7" x14ac:dyDescent="0.2">
      <c r="B260" t="s">
        <v>20</v>
      </c>
      <c r="D260" s="7">
        <f>TRUNC(D259)</f>
        <v>2458131</v>
      </c>
    </row>
    <row r="261" spans="2:7" x14ac:dyDescent="0.2">
      <c r="B261" t="s">
        <v>22</v>
      </c>
      <c r="D261" s="7">
        <f>D259-D260</f>
        <v>0.90140199987217784</v>
      </c>
    </row>
    <row r="262" spans="2:7" x14ac:dyDescent="0.2">
      <c r="B262" t="s">
        <v>23</v>
      </c>
      <c r="D262">
        <f>TRUNC((D260-1867216.25)/36524.25)</f>
        <v>16</v>
      </c>
    </row>
    <row r="263" spans="2:7" x14ac:dyDescent="0.2">
      <c r="B263" t="s">
        <v>10</v>
      </c>
      <c r="D263">
        <f>IF(D260&lt;2299161,D260,(D260+1+D262-TRUNC(D262/4)))</f>
        <v>2458144</v>
      </c>
    </row>
    <row r="264" spans="2:7" x14ac:dyDescent="0.2">
      <c r="B264" t="s">
        <v>5</v>
      </c>
      <c r="D264">
        <f>D263+1524</f>
        <v>2459668</v>
      </c>
    </row>
    <row r="265" spans="2:7" x14ac:dyDescent="0.2">
      <c r="B265" t="s">
        <v>24</v>
      </c>
      <c r="D265">
        <f>TRUNC((D264-122.1)/365.25)</f>
        <v>6733</v>
      </c>
    </row>
    <row r="266" spans="2:7" x14ac:dyDescent="0.2">
      <c r="B266" t="s">
        <v>25</v>
      </c>
      <c r="D266">
        <f>TRUNC(365.25*D265)</f>
        <v>2459228</v>
      </c>
    </row>
    <row r="267" spans="2:7" x14ac:dyDescent="0.2">
      <c r="B267" t="s">
        <v>26</v>
      </c>
      <c r="D267">
        <f>TRUNC((D264-D266)/30.6001)</f>
        <v>14</v>
      </c>
    </row>
    <row r="268" spans="2:7" s="9" customFormat="1" x14ac:dyDescent="0.2">
      <c r="B268" s="9" t="s">
        <v>27</v>
      </c>
      <c r="C268" s="9" t="s">
        <v>34</v>
      </c>
      <c r="D268" s="12">
        <f>D264-D266-TRUNC(30.6001*D267)+D261</f>
        <v>12.901401999872178</v>
      </c>
    </row>
    <row r="269" spans="2:7" s="9" customFormat="1" x14ac:dyDescent="0.2">
      <c r="B269" s="9" t="s">
        <v>67</v>
      </c>
      <c r="C269" s="9" t="s">
        <v>34</v>
      </c>
      <c r="D269" s="11">
        <f>INT(D268)</f>
        <v>12</v>
      </c>
    </row>
    <row r="270" spans="2:7" s="9" customFormat="1" x14ac:dyDescent="0.2">
      <c r="B270" s="9" t="s">
        <v>68</v>
      </c>
      <c r="C270" s="9" t="s">
        <v>58</v>
      </c>
      <c r="D270" s="12">
        <f>(D268-D269)*24</f>
        <v>21.633647996932268</v>
      </c>
    </row>
    <row r="271" spans="2:7" s="9" customFormat="1" x14ac:dyDescent="0.2">
      <c r="B271" s="9" t="s">
        <v>69</v>
      </c>
      <c r="C271" s="9" t="s">
        <v>58</v>
      </c>
      <c r="D271" s="11">
        <f>INT(D270)</f>
        <v>21</v>
      </c>
      <c r="F271" s="11" t="str">
        <f>IF(D271&lt;10,"0","")&amp;D271</f>
        <v>21</v>
      </c>
      <c r="G271" s="9" t="s">
        <v>112</v>
      </c>
    </row>
    <row r="272" spans="2:7" s="9" customFormat="1" x14ac:dyDescent="0.2">
      <c r="B272" s="9" t="s">
        <v>70</v>
      </c>
      <c r="C272" s="9" t="s">
        <v>59</v>
      </c>
      <c r="D272" s="12">
        <f>(D270-D271)*60</f>
        <v>38.018879815936089</v>
      </c>
      <c r="F272" s="11"/>
    </row>
    <row r="273" spans="2:7" s="9" customFormat="1" x14ac:dyDescent="0.2">
      <c r="B273" s="9" t="s">
        <v>71</v>
      </c>
      <c r="C273" s="9" t="s">
        <v>59</v>
      </c>
      <c r="D273" s="11">
        <f>INT(D272)</f>
        <v>38</v>
      </c>
      <c r="F273" s="11" t="str">
        <f t="shared" ref="F273:F275" si="11">IF(D273&lt;10,"0","")&amp;D273</f>
        <v>38</v>
      </c>
      <c r="G273" s="9" t="s">
        <v>112</v>
      </c>
    </row>
    <row r="274" spans="2:7" s="9" customFormat="1" x14ac:dyDescent="0.2">
      <c r="B274" s="9" t="s">
        <v>72</v>
      </c>
      <c r="C274" s="9" t="s">
        <v>60</v>
      </c>
      <c r="D274" s="12">
        <f>(D272-D273)*60</f>
        <v>1.1327889561653137</v>
      </c>
      <c r="F274" s="11"/>
    </row>
    <row r="275" spans="2:7" s="9" customFormat="1" x14ac:dyDescent="0.2">
      <c r="B275" s="9" t="s">
        <v>73</v>
      </c>
      <c r="C275" s="9" t="s">
        <v>60</v>
      </c>
      <c r="D275" s="12">
        <f>ROUND(D274,0)</f>
        <v>1</v>
      </c>
      <c r="F275" s="11" t="str">
        <f t="shared" si="11"/>
        <v>01</v>
      </c>
      <c r="G275" s="9" t="s">
        <v>112</v>
      </c>
    </row>
    <row r="276" spans="2:7" s="9" customFormat="1" x14ac:dyDescent="0.2">
      <c r="B276" s="9" t="s">
        <v>3</v>
      </c>
      <c r="C276" s="9" t="s">
        <v>35</v>
      </c>
      <c r="D276" s="9">
        <f>IF(D267&lt;14,D267-1,D267-13)</f>
        <v>1</v>
      </c>
    </row>
    <row r="277" spans="2:7" s="9" customFormat="1" x14ac:dyDescent="0.2">
      <c r="B277" s="9" t="s">
        <v>2</v>
      </c>
      <c r="C277" s="9" t="s">
        <v>61</v>
      </c>
      <c r="D277" s="9">
        <f>IF(D276&gt;2,D265-4716,D265-4715)</f>
        <v>2018</v>
      </c>
    </row>
    <row r="278" spans="2:7" x14ac:dyDescent="0.2">
      <c r="B278" s="50" t="s">
        <v>0</v>
      </c>
      <c r="C278" s="50" t="s">
        <v>38</v>
      </c>
      <c r="D278" s="51">
        <f>'Time of Minimum'!C42</f>
        <v>2458132.5966522996</v>
      </c>
      <c r="E278" s="50"/>
      <c r="F278" s="52" t="s">
        <v>87</v>
      </c>
    </row>
    <row r="279" spans="2:7" x14ac:dyDescent="0.2">
      <c r="B279" t="s">
        <v>19</v>
      </c>
      <c r="D279" s="7">
        <f>D278+0.5</f>
        <v>2458133.0966522996</v>
      </c>
    </row>
    <row r="280" spans="2:7" x14ac:dyDescent="0.2">
      <c r="B280" t="s">
        <v>20</v>
      </c>
      <c r="D280" s="7">
        <f>TRUNC(D279)</f>
        <v>2458133</v>
      </c>
    </row>
    <row r="281" spans="2:7" x14ac:dyDescent="0.2">
      <c r="B281" t="s">
        <v>22</v>
      </c>
      <c r="D281" s="7">
        <f>D279-D280</f>
        <v>9.6652299631386995E-2</v>
      </c>
    </row>
    <row r="282" spans="2:7" x14ac:dyDescent="0.2">
      <c r="B282" t="s">
        <v>23</v>
      </c>
      <c r="D282">
        <f>TRUNC((D280-1867216.25)/36524.25)</f>
        <v>16</v>
      </c>
    </row>
    <row r="283" spans="2:7" x14ac:dyDescent="0.2">
      <c r="B283" t="s">
        <v>10</v>
      </c>
      <c r="D283">
        <f>IF(D280&lt;2299161,D280,(D280+1+D282-TRUNC(D282/4)))</f>
        <v>2458146</v>
      </c>
    </row>
    <row r="284" spans="2:7" x14ac:dyDescent="0.2">
      <c r="B284" t="s">
        <v>5</v>
      </c>
      <c r="D284">
        <f>D283+1524</f>
        <v>2459670</v>
      </c>
    </row>
    <row r="285" spans="2:7" x14ac:dyDescent="0.2">
      <c r="B285" t="s">
        <v>24</v>
      </c>
      <c r="D285">
        <f>TRUNC((D284-122.1)/365.25)</f>
        <v>6733</v>
      </c>
    </row>
    <row r="286" spans="2:7" x14ac:dyDescent="0.2">
      <c r="B286" t="s">
        <v>25</v>
      </c>
      <c r="D286">
        <f>TRUNC(365.25*D285)</f>
        <v>2459228</v>
      </c>
    </row>
    <row r="287" spans="2:7" x14ac:dyDescent="0.2">
      <c r="B287" t="s">
        <v>26</v>
      </c>
      <c r="D287">
        <f>TRUNC((D284-D286)/30.6001)</f>
        <v>14</v>
      </c>
    </row>
    <row r="288" spans="2:7" s="9" customFormat="1" x14ac:dyDescent="0.2">
      <c r="B288" s="9" t="s">
        <v>27</v>
      </c>
      <c r="C288" s="9" t="s">
        <v>34</v>
      </c>
      <c r="D288" s="12">
        <f>D284-D286-TRUNC(30.6001*D287)+D281</f>
        <v>14.096652299631387</v>
      </c>
    </row>
    <row r="289" spans="2:7" s="9" customFormat="1" x14ac:dyDescent="0.2">
      <c r="B289" s="9" t="s">
        <v>67</v>
      </c>
      <c r="C289" s="9" t="s">
        <v>34</v>
      </c>
      <c r="D289" s="11">
        <f>INT(D288)</f>
        <v>14</v>
      </c>
    </row>
    <row r="290" spans="2:7" s="9" customFormat="1" x14ac:dyDescent="0.2">
      <c r="B290" s="9" t="s">
        <v>68</v>
      </c>
      <c r="C290" s="9" t="s">
        <v>58</v>
      </c>
      <c r="D290" s="12">
        <f>(D288-D289)*24</f>
        <v>2.3196551911532879</v>
      </c>
    </row>
    <row r="291" spans="2:7" s="9" customFormat="1" x14ac:dyDescent="0.2">
      <c r="B291" s="9" t="s">
        <v>69</v>
      </c>
      <c r="C291" s="9" t="s">
        <v>58</v>
      </c>
      <c r="D291" s="11">
        <f>INT(D290)</f>
        <v>2</v>
      </c>
      <c r="F291" s="11" t="str">
        <f>IF(D291&lt;10,"0","")&amp;D291</f>
        <v>02</v>
      </c>
      <c r="G291" s="9" t="s">
        <v>112</v>
      </c>
    </row>
    <row r="292" spans="2:7" s="9" customFormat="1" x14ac:dyDescent="0.2">
      <c r="B292" s="9" t="s">
        <v>70</v>
      </c>
      <c r="C292" s="9" t="s">
        <v>59</v>
      </c>
      <c r="D292" s="12">
        <f>(D290-D291)*60</f>
        <v>19.179311469197273</v>
      </c>
      <c r="F292" s="11"/>
    </row>
    <row r="293" spans="2:7" s="9" customFormat="1" x14ac:dyDescent="0.2">
      <c r="B293" s="9" t="s">
        <v>71</v>
      </c>
      <c r="C293" s="9" t="s">
        <v>59</v>
      </c>
      <c r="D293" s="11">
        <f>INT(D292)</f>
        <v>19</v>
      </c>
      <c r="F293" s="11" t="str">
        <f t="shared" ref="F293:F295" si="12">IF(D293&lt;10,"0","")&amp;D293</f>
        <v>19</v>
      </c>
      <c r="G293" s="9" t="s">
        <v>112</v>
      </c>
    </row>
    <row r="294" spans="2:7" s="9" customFormat="1" x14ac:dyDescent="0.2">
      <c r="B294" s="9" t="s">
        <v>72</v>
      </c>
      <c r="C294" s="9" t="s">
        <v>60</v>
      </c>
      <c r="D294" s="12">
        <f>(D292-D293)*60</f>
        <v>10.758688151836395</v>
      </c>
      <c r="F294" s="11"/>
    </row>
    <row r="295" spans="2:7" s="9" customFormat="1" x14ac:dyDescent="0.2">
      <c r="B295" s="9" t="s">
        <v>73</v>
      </c>
      <c r="C295" s="9" t="s">
        <v>60</v>
      </c>
      <c r="D295" s="12">
        <f>ROUND(D294,0)</f>
        <v>11</v>
      </c>
      <c r="F295" s="11" t="str">
        <f t="shared" si="12"/>
        <v>11</v>
      </c>
      <c r="G295" s="9" t="s">
        <v>112</v>
      </c>
    </row>
    <row r="296" spans="2:7" s="9" customFormat="1" x14ac:dyDescent="0.2">
      <c r="B296" s="9" t="s">
        <v>3</v>
      </c>
      <c r="C296" s="9" t="s">
        <v>35</v>
      </c>
      <c r="D296" s="9">
        <f>IF(D287&lt;14,D287-1,D287-13)</f>
        <v>1</v>
      </c>
    </row>
    <row r="297" spans="2:7" s="9" customFormat="1" x14ac:dyDescent="0.2">
      <c r="B297" s="9" t="s">
        <v>2</v>
      </c>
      <c r="C297" s="9" t="s">
        <v>61</v>
      </c>
      <c r="D297" s="9">
        <f>IF(D296&gt;2,D285-4716,D285-4715)</f>
        <v>2018</v>
      </c>
    </row>
    <row r="298" spans="2:7" x14ac:dyDescent="0.2">
      <c r="B298" s="50" t="s">
        <v>0</v>
      </c>
      <c r="C298" s="50" t="s">
        <v>38</v>
      </c>
      <c r="D298" s="51">
        <f>'Time of Minimum'!C43</f>
        <v>2458133.7919025999</v>
      </c>
      <c r="E298" s="50"/>
      <c r="F298" s="52" t="s">
        <v>88</v>
      </c>
    </row>
    <row r="299" spans="2:7" x14ac:dyDescent="0.2">
      <c r="B299" t="s">
        <v>19</v>
      </c>
      <c r="D299" s="7">
        <f>D298+0.5</f>
        <v>2458134.2919025999</v>
      </c>
    </row>
    <row r="300" spans="2:7" x14ac:dyDescent="0.2">
      <c r="B300" t="s">
        <v>20</v>
      </c>
      <c r="D300" s="7">
        <f>TRUNC(D299)</f>
        <v>2458134</v>
      </c>
    </row>
    <row r="301" spans="2:7" x14ac:dyDescent="0.2">
      <c r="B301" t="s">
        <v>22</v>
      </c>
      <c r="D301" s="7">
        <f>D299-D300</f>
        <v>0.29190259985625744</v>
      </c>
    </row>
    <row r="302" spans="2:7" x14ac:dyDescent="0.2">
      <c r="B302" t="s">
        <v>23</v>
      </c>
      <c r="D302">
        <f>TRUNC((D300-1867216.25)/36524.25)</f>
        <v>16</v>
      </c>
    </row>
    <row r="303" spans="2:7" x14ac:dyDescent="0.2">
      <c r="B303" t="s">
        <v>10</v>
      </c>
      <c r="D303">
        <f>IF(D300&lt;2299161,D300,(D300+1+D302-TRUNC(D302/4)))</f>
        <v>2458147</v>
      </c>
    </row>
    <row r="304" spans="2:7" x14ac:dyDescent="0.2">
      <c r="B304" t="s">
        <v>5</v>
      </c>
      <c r="D304">
        <f>D303+1524</f>
        <v>2459671</v>
      </c>
    </row>
    <row r="305" spans="2:7" x14ac:dyDescent="0.2">
      <c r="B305" t="s">
        <v>24</v>
      </c>
      <c r="D305">
        <f>TRUNC((D304-122.1)/365.25)</f>
        <v>6733</v>
      </c>
    </row>
    <row r="306" spans="2:7" x14ac:dyDescent="0.2">
      <c r="B306" t="s">
        <v>25</v>
      </c>
      <c r="D306">
        <f>TRUNC(365.25*D305)</f>
        <v>2459228</v>
      </c>
    </row>
    <row r="307" spans="2:7" x14ac:dyDescent="0.2">
      <c r="B307" t="s">
        <v>26</v>
      </c>
      <c r="D307">
        <f>TRUNC((D304-D306)/30.6001)</f>
        <v>14</v>
      </c>
    </row>
    <row r="308" spans="2:7" s="9" customFormat="1" x14ac:dyDescent="0.2">
      <c r="B308" s="9" t="s">
        <v>27</v>
      </c>
      <c r="C308" s="9" t="s">
        <v>34</v>
      </c>
      <c r="D308" s="12">
        <f>D304-D306-TRUNC(30.6001*D307)+D301</f>
        <v>15.291902599856257</v>
      </c>
    </row>
    <row r="309" spans="2:7" s="9" customFormat="1" x14ac:dyDescent="0.2">
      <c r="B309" s="9" t="s">
        <v>67</v>
      </c>
      <c r="C309" s="9" t="s">
        <v>34</v>
      </c>
      <c r="D309" s="11">
        <f>INT(D308)</f>
        <v>15</v>
      </c>
    </row>
    <row r="310" spans="2:7" s="9" customFormat="1" x14ac:dyDescent="0.2">
      <c r="B310" s="9" t="s">
        <v>68</v>
      </c>
      <c r="C310" s="9" t="s">
        <v>58</v>
      </c>
      <c r="D310" s="12">
        <f>(D308-D309)*24</f>
        <v>7.0056623965501785</v>
      </c>
    </row>
    <row r="311" spans="2:7" s="9" customFormat="1" x14ac:dyDescent="0.2">
      <c r="B311" s="9" t="s">
        <v>69</v>
      </c>
      <c r="C311" s="9" t="s">
        <v>58</v>
      </c>
      <c r="D311" s="11">
        <f>INT(D310)</f>
        <v>7</v>
      </c>
      <c r="F311" s="11" t="str">
        <f>IF(D311&lt;10,"0","")&amp;D311</f>
        <v>07</v>
      </c>
      <c r="G311" s="9" t="s">
        <v>112</v>
      </c>
    </row>
    <row r="312" spans="2:7" s="9" customFormat="1" x14ac:dyDescent="0.2">
      <c r="B312" s="9" t="s">
        <v>70</v>
      </c>
      <c r="C312" s="9" t="s">
        <v>59</v>
      </c>
      <c r="D312" s="12">
        <f>(D310-D311)*60</f>
        <v>0.33974379301071167</v>
      </c>
      <c r="F312" s="11"/>
    </row>
    <row r="313" spans="2:7" s="9" customFormat="1" x14ac:dyDescent="0.2">
      <c r="B313" s="9" t="s">
        <v>71</v>
      </c>
      <c r="C313" s="9" t="s">
        <v>59</v>
      </c>
      <c r="D313" s="11">
        <f>INT(D312)</f>
        <v>0</v>
      </c>
      <c r="F313" s="11" t="str">
        <f t="shared" ref="F313:F315" si="13">IF(D313&lt;10,"0","")&amp;D313</f>
        <v>00</v>
      </c>
      <c r="G313" s="9" t="s">
        <v>112</v>
      </c>
    </row>
    <row r="314" spans="2:7" s="9" customFormat="1" x14ac:dyDescent="0.2">
      <c r="B314" s="9" t="s">
        <v>72</v>
      </c>
      <c r="C314" s="9" t="s">
        <v>60</v>
      </c>
      <c r="D314" s="12">
        <f>(D312-D313)*60</f>
        <v>20.3846275806427</v>
      </c>
      <c r="F314" s="11"/>
    </row>
    <row r="315" spans="2:7" s="9" customFormat="1" x14ac:dyDescent="0.2">
      <c r="B315" s="9" t="s">
        <v>73</v>
      </c>
      <c r="C315" s="9" t="s">
        <v>60</v>
      </c>
      <c r="D315" s="12">
        <f>ROUND(D314,0)</f>
        <v>20</v>
      </c>
      <c r="F315" s="11" t="str">
        <f t="shared" si="13"/>
        <v>20</v>
      </c>
      <c r="G315" s="9" t="s">
        <v>112</v>
      </c>
    </row>
    <row r="316" spans="2:7" s="9" customFormat="1" x14ac:dyDescent="0.2">
      <c r="B316" s="9" t="s">
        <v>3</v>
      </c>
      <c r="C316" s="9" t="s">
        <v>35</v>
      </c>
      <c r="D316" s="9">
        <f>IF(D307&lt;14,D307-1,D307-13)</f>
        <v>1</v>
      </c>
    </row>
    <row r="317" spans="2:7" s="9" customFormat="1" x14ac:dyDescent="0.2">
      <c r="B317" s="9" t="s">
        <v>2</v>
      </c>
      <c r="C317" s="9" t="s">
        <v>61</v>
      </c>
      <c r="D317" s="9">
        <f>IF(D316&gt;2,D305-4716,D305-4715)</f>
        <v>2018</v>
      </c>
    </row>
    <row r="318" spans="2:7" x14ac:dyDescent="0.2">
      <c r="B318" s="50" t="s">
        <v>0</v>
      </c>
      <c r="C318" s="50" t="s">
        <v>38</v>
      </c>
      <c r="D318" s="51">
        <f>'Time of Minimum'!C44</f>
        <v>2458134.9871528996</v>
      </c>
      <c r="E318" s="50"/>
      <c r="F318" s="52" t="s">
        <v>89</v>
      </c>
    </row>
    <row r="319" spans="2:7" x14ac:dyDescent="0.2">
      <c r="B319" t="s">
        <v>19</v>
      </c>
      <c r="D319" s="7">
        <f>D318+0.5</f>
        <v>2458135.4871528996</v>
      </c>
    </row>
    <row r="320" spans="2:7" x14ac:dyDescent="0.2">
      <c r="B320" t="s">
        <v>20</v>
      </c>
      <c r="D320" s="7">
        <f>TRUNC(D319)</f>
        <v>2458135</v>
      </c>
    </row>
    <row r="321" spans="2:7" x14ac:dyDescent="0.2">
      <c r="B321" t="s">
        <v>22</v>
      </c>
      <c r="D321" s="7">
        <f>D319-D320</f>
        <v>0.48715289961546659</v>
      </c>
    </row>
    <row r="322" spans="2:7" x14ac:dyDescent="0.2">
      <c r="B322" t="s">
        <v>23</v>
      </c>
      <c r="D322">
        <f>TRUNC((D320-1867216.25)/36524.25)</f>
        <v>16</v>
      </c>
    </row>
    <row r="323" spans="2:7" x14ac:dyDescent="0.2">
      <c r="B323" t="s">
        <v>10</v>
      </c>
      <c r="D323">
        <f>IF(D320&lt;2299161,D320,(D320+1+D322-TRUNC(D322/4)))</f>
        <v>2458148</v>
      </c>
    </row>
    <row r="324" spans="2:7" x14ac:dyDescent="0.2">
      <c r="B324" t="s">
        <v>5</v>
      </c>
      <c r="D324">
        <f>D323+1524</f>
        <v>2459672</v>
      </c>
    </row>
    <row r="325" spans="2:7" x14ac:dyDescent="0.2">
      <c r="B325" t="s">
        <v>24</v>
      </c>
      <c r="D325">
        <f>TRUNC((D324-122.1)/365.25)</f>
        <v>6733</v>
      </c>
    </row>
    <row r="326" spans="2:7" x14ac:dyDescent="0.2">
      <c r="B326" t="s">
        <v>25</v>
      </c>
      <c r="D326">
        <f>TRUNC(365.25*D325)</f>
        <v>2459228</v>
      </c>
    </row>
    <row r="327" spans="2:7" x14ac:dyDescent="0.2">
      <c r="B327" t="s">
        <v>26</v>
      </c>
      <c r="D327">
        <f>TRUNC((D324-D326)/30.6001)</f>
        <v>14</v>
      </c>
    </row>
    <row r="328" spans="2:7" s="9" customFormat="1" x14ac:dyDescent="0.2">
      <c r="B328" s="9" t="s">
        <v>27</v>
      </c>
      <c r="C328" s="9" t="s">
        <v>34</v>
      </c>
      <c r="D328" s="12">
        <f>D324-D326-TRUNC(30.6001*D327)+D321</f>
        <v>16.487152899615467</v>
      </c>
    </row>
    <row r="329" spans="2:7" s="9" customFormat="1" x14ac:dyDescent="0.2">
      <c r="B329" s="9" t="s">
        <v>67</v>
      </c>
      <c r="C329" s="9" t="s">
        <v>34</v>
      </c>
      <c r="D329" s="11">
        <f>INT(D328)</f>
        <v>16</v>
      </c>
    </row>
    <row r="330" spans="2:7" s="9" customFormat="1" x14ac:dyDescent="0.2">
      <c r="B330" s="9" t="s">
        <v>68</v>
      </c>
      <c r="C330" s="9" t="s">
        <v>58</v>
      </c>
      <c r="D330" s="12">
        <f>(D328-D329)*24</f>
        <v>11.691669590771198</v>
      </c>
    </row>
    <row r="331" spans="2:7" s="9" customFormat="1" x14ac:dyDescent="0.2">
      <c r="B331" s="9" t="s">
        <v>69</v>
      </c>
      <c r="C331" s="9" t="s">
        <v>58</v>
      </c>
      <c r="D331" s="11">
        <f>INT(D330)</f>
        <v>11</v>
      </c>
      <c r="F331" s="11" t="str">
        <f>IF(D331&lt;10,"0","")&amp;D331</f>
        <v>11</v>
      </c>
      <c r="G331" s="9" t="s">
        <v>112</v>
      </c>
    </row>
    <row r="332" spans="2:7" s="9" customFormat="1" x14ac:dyDescent="0.2">
      <c r="B332" s="9" t="s">
        <v>70</v>
      </c>
      <c r="C332" s="9" t="s">
        <v>59</v>
      </c>
      <c r="D332" s="12">
        <f>(D330-D331)*60</f>
        <v>41.500175446271896</v>
      </c>
      <c r="F332" s="11"/>
    </row>
    <row r="333" spans="2:7" s="9" customFormat="1" x14ac:dyDescent="0.2">
      <c r="B333" s="9" t="s">
        <v>71</v>
      </c>
      <c r="C333" s="9" t="s">
        <v>59</v>
      </c>
      <c r="D333" s="11">
        <f>INT(D332)</f>
        <v>41</v>
      </c>
      <c r="F333" s="11" t="str">
        <f t="shared" ref="F333:F335" si="14">IF(D333&lt;10,"0","")&amp;D333</f>
        <v>41</v>
      </c>
      <c r="G333" s="9" t="s">
        <v>112</v>
      </c>
    </row>
    <row r="334" spans="2:7" s="9" customFormat="1" x14ac:dyDescent="0.2">
      <c r="B334" s="9" t="s">
        <v>72</v>
      </c>
      <c r="C334" s="9" t="s">
        <v>60</v>
      </c>
      <c r="D334" s="12">
        <f>(D332-D333)*60</f>
        <v>30.010526776313782</v>
      </c>
      <c r="F334" s="11"/>
    </row>
    <row r="335" spans="2:7" s="9" customFormat="1" x14ac:dyDescent="0.2">
      <c r="B335" s="9" t="s">
        <v>73</v>
      </c>
      <c r="C335" s="9" t="s">
        <v>60</v>
      </c>
      <c r="D335" s="12">
        <f>ROUND(D334,0)</f>
        <v>30</v>
      </c>
      <c r="F335" s="11" t="str">
        <f t="shared" si="14"/>
        <v>30</v>
      </c>
      <c r="G335" s="9" t="s">
        <v>112</v>
      </c>
    </row>
    <row r="336" spans="2:7" s="9" customFormat="1" x14ac:dyDescent="0.2">
      <c r="B336" s="9" t="s">
        <v>3</v>
      </c>
      <c r="C336" s="9" t="s">
        <v>35</v>
      </c>
      <c r="D336" s="9">
        <f>IF(D327&lt;14,D327-1,D327-13)</f>
        <v>1</v>
      </c>
    </row>
    <row r="337" spans="2:7" s="9" customFormat="1" x14ac:dyDescent="0.2">
      <c r="B337" s="9" t="s">
        <v>2</v>
      </c>
      <c r="C337" s="9" t="s">
        <v>61</v>
      </c>
      <c r="D337" s="9">
        <f>IF(D336&gt;2,D325-4716,D325-4715)</f>
        <v>2018</v>
      </c>
    </row>
    <row r="338" spans="2:7" x14ac:dyDescent="0.2">
      <c r="B338" s="50" t="s">
        <v>0</v>
      </c>
      <c r="C338" s="50" t="s">
        <v>38</v>
      </c>
      <c r="D338" s="51">
        <f>'Time of Minimum'!C45</f>
        <v>2458136.1824031998</v>
      </c>
      <c r="E338" s="50"/>
      <c r="F338" s="52" t="s">
        <v>90</v>
      </c>
    </row>
    <row r="339" spans="2:7" x14ac:dyDescent="0.2">
      <c r="B339" t="s">
        <v>19</v>
      </c>
      <c r="D339" s="7">
        <f>D338+0.5</f>
        <v>2458136.6824031998</v>
      </c>
    </row>
    <row r="340" spans="2:7" x14ac:dyDescent="0.2">
      <c r="B340" t="s">
        <v>20</v>
      </c>
      <c r="D340" s="7">
        <f>TRUNC(D339)</f>
        <v>2458136</v>
      </c>
    </row>
    <row r="341" spans="2:7" x14ac:dyDescent="0.2">
      <c r="B341" t="s">
        <v>22</v>
      </c>
      <c r="D341" s="7">
        <f>D339-D340</f>
        <v>0.68240319984033704</v>
      </c>
    </row>
    <row r="342" spans="2:7" x14ac:dyDescent="0.2">
      <c r="B342" t="s">
        <v>23</v>
      </c>
      <c r="D342">
        <f>TRUNC((D340-1867216.25)/36524.25)</f>
        <v>16</v>
      </c>
    </row>
    <row r="343" spans="2:7" x14ac:dyDescent="0.2">
      <c r="B343" t="s">
        <v>10</v>
      </c>
      <c r="D343">
        <f>IF(D340&lt;2299161,D340,(D340+1+D342-TRUNC(D342/4)))</f>
        <v>2458149</v>
      </c>
    </row>
    <row r="344" spans="2:7" x14ac:dyDescent="0.2">
      <c r="B344" t="s">
        <v>5</v>
      </c>
      <c r="D344">
        <f>D343+1524</f>
        <v>2459673</v>
      </c>
    </row>
    <row r="345" spans="2:7" x14ac:dyDescent="0.2">
      <c r="B345" t="s">
        <v>24</v>
      </c>
      <c r="D345">
        <f>TRUNC((D344-122.1)/365.25)</f>
        <v>6733</v>
      </c>
    </row>
    <row r="346" spans="2:7" x14ac:dyDescent="0.2">
      <c r="B346" t="s">
        <v>25</v>
      </c>
      <c r="D346">
        <f>TRUNC(365.25*D345)</f>
        <v>2459228</v>
      </c>
    </row>
    <row r="347" spans="2:7" x14ac:dyDescent="0.2">
      <c r="B347" t="s">
        <v>26</v>
      </c>
      <c r="D347">
        <f>TRUNC((D344-D346)/30.6001)</f>
        <v>14</v>
      </c>
    </row>
    <row r="348" spans="2:7" s="9" customFormat="1" x14ac:dyDescent="0.2">
      <c r="B348" s="9" t="s">
        <v>27</v>
      </c>
      <c r="C348" s="9" t="s">
        <v>34</v>
      </c>
      <c r="D348" s="12">
        <f>D344-D346-TRUNC(30.6001*D347)+D341</f>
        <v>17.682403199840337</v>
      </c>
    </row>
    <row r="349" spans="2:7" s="9" customFormat="1" x14ac:dyDescent="0.2">
      <c r="B349" s="9" t="s">
        <v>67</v>
      </c>
      <c r="C349" s="9" t="s">
        <v>34</v>
      </c>
      <c r="D349" s="11">
        <f>INT(D348)</f>
        <v>17</v>
      </c>
    </row>
    <row r="350" spans="2:7" s="9" customFormat="1" x14ac:dyDescent="0.2">
      <c r="B350" s="9" t="s">
        <v>68</v>
      </c>
      <c r="C350" s="9" t="s">
        <v>58</v>
      </c>
      <c r="D350" s="12">
        <f>(D348-D349)*24</f>
        <v>16.377676796168089</v>
      </c>
    </row>
    <row r="351" spans="2:7" s="9" customFormat="1" x14ac:dyDescent="0.2">
      <c r="B351" s="9" t="s">
        <v>69</v>
      </c>
      <c r="C351" s="9" t="s">
        <v>58</v>
      </c>
      <c r="D351" s="11">
        <f>INT(D350)</f>
        <v>16</v>
      </c>
      <c r="F351" s="11" t="str">
        <f>IF(D351&lt;10,"0","")&amp;D351</f>
        <v>16</v>
      </c>
      <c r="G351" s="9" t="s">
        <v>112</v>
      </c>
    </row>
    <row r="352" spans="2:7" s="9" customFormat="1" x14ac:dyDescent="0.2">
      <c r="B352" s="9" t="s">
        <v>70</v>
      </c>
      <c r="C352" s="9" t="s">
        <v>59</v>
      </c>
      <c r="D352" s="12">
        <f>(D350-D351)*60</f>
        <v>22.660607770085335</v>
      </c>
      <c r="F352" s="11"/>
    </row>
    <row r="353" spans="2:7" s="9" customFormat="1" x14ac:dyDescent="0.2">
      <c r="B353" s="9" t="s">
        <v>71</v>
      </c>
      <c r="C353" s="9" t="s">
        <v>59</v>
      </c>
      <c r="D353" s="11">
        <f>INT(D352)</f>
        <v>22</v>
      </c>
      <c r="F353" s="11" t="str">
        <f t="shared" ref="F353:F355" si="15">IF(D353&lt;10,"0","")&amp;D353</f>
        <v>22</v>
      </c>
      <c r="G353" s="9" t="s">
        <v>112</v>
      </c>
    </row>
    <row r="354" spans="2:7" s="9" customFormat="1" x14ac:dyDescent="0.2">
      <c r="B354" s="9" t="s">
        <v>72</v>
      </c>
      <c r="C354" s="9" t="s">
        <v>60</v>
      </c>
      <c r="D354" s="12">
        <f>(D352-D353)*60</f>
        <v>39.636466205120087</v>
      </c>
      <c r="F354" s="11"/>
    </row>
    <row r="355" spans="2:7" s="9" customFormat="1" x14ac:dyDescent="0.2">
      <c r="B355" s="9" t="s">
        <v>73</v>
      </c>
      <c r="C355" s="9" t="s">
        <v>60</v>
      </c>
      <c r="D355" s="12">
        <f>ROUND(D354,0)</f>
        <v>40</v>
      </c>
      <c r="F355" s="11" t="str">
        <f t="shared" si="15"/>
        <v>40</v>
      </c>
      <c r="G355" s="9" t="s">
        <v>112</v>
      </c>
    </row>
    <row r="356" spans="2:7" s="9" customFormat="1" x14ac:dyDescent="0.2">
      <c r="B356" s="9" t="s">
        <v>3</v>
      </c>
      <c r="C356" s="9" t="s">
        <v>35</v>
      </c>
      <c r="D356" s="9">
        <f>IF(D347&lt;14,D347-1,D347-13)</f>
        <v>1</v>
      </c>
    </row>
    <row r="357" spans="2:7" s="9" customFormat="1" x14ac:dyDescent="0.2">
      <c r="B357" s="9" t="s">
        <v>2</v>
      </c>
      <c r="C357" s="9" t="s">
        <v>61</v>
      </c>
      <c r="D357" s="9">
        <f>IF(D356&gt;2,D345-4716,D345-4715)</f>
        <v>2018</v>
      </c>
    </row>
    <row r="358" spans="2:7" x14ac:dyDescent="0.2">
      <c r="B358" s="50" t="s">
        <v>0</v>
      </c>
      <c r="C358" s="50" t="s">
        <v>38</v>
      </c>
      <c r="D358" s="51">
        <f>'Time of Minimum'!C46</f>
        <v>2458137.3776534996</v>
      </c>
      <c r="E358" s="50"/>
      <c r="F358" s="52" t="s">
        <v>91</v>
      </c>
    </row>
    <row r="359" spans="2:7" x14ac:dyDescent="0.2">
      <c r="B359" t="s">
        <v>19</v>
      </c>
      <c r="D359" s="7">
        <f>D358+0.5</f>
        <v>2458137.8776534996</v>
      </c>
    </row>
    <row r="360" spans="2:7" x14ac:dyDescent="0.2">
      <c r="B360" t="s">
        <v>20</v>
      </c>
      <c r="D360" s="7">
        <f>TRUNC(D359)</f>
        <v>2458137</v>
      </c>
    </row>
    <row r="361" spans="2:7" x14ac:dyDescent="0.2">
      <c r="B361" t="s">
        <v>22</v>
      </c>
      <c r="D361" s="7">
        <f>D359-D360</f>
        <v>0.87765349959954619</v>
      </c>
    </row>
    <row r="362" spans="2:7" x14ac:dyDescent="0.2">
      <c r="B362" t="s">
        <v>23</v>
      </c>
      <c r="D362">
        <f>TRUNC((D360-1867216.25)/36524.25)</f>
        <v>16</v>
      </c>
    </row>
    <row r="363" spans="2:7" x14ac:dyDescent="0.2">
      <c r="B363" t="s">
        <v>10</v>
      </c>
      <c r="D363">
        <f>IF(D360&lt;2299161,D360,(D360+1+D362-TRUNC(D362/4)))</f>
        <v>2458150</v>
      </c>
    </row>
    <row r="364" spans="2:7" x14ac:dyDescent="0.2">
      <c r="B364" t="s">
        <v>5</v>
      </c>
      <c r="D364">
        <f>D363+1524</f>
        <v>2459674</v>
      </c>
    </row>
    <row r="365" spans="2:7" x14ac:dyDescent="0.2">
      <c r="B365" t="s">
        <v>24</v>
      </c>
      <c r="D365">
        <f>TRUNC((D364-122.1)/365.25)</f>
        <v>6733</v>
      </c>
    </row>
    <row r="366" spans="2:7" x14ac:dyDescent="0.2">
      <c r="B366" t="s">
        <v>25</v>
      </c>
      <c r="D366">
        <f>TRUNC(365.25*D365)</f>
        <v>2459228</v>
      </c>
    </row>
    <row r="367" spans="2:7" x14ac:dyDescent="0.2">
      <c r="B367" t="s">
        <v>26</v>
      </c>
      <c r="D367">
        <f>TRUNC((D364-D366)/30.6001)</f>
        <v>14</v>
      </c>
    </row>
    <row r="368" spans="2:7" s="9" customFormat="1" x14ac:dyDescent="0.2">
      <c r="B368" s="9" t="s">
        <v>27</v>
      </c>
      <c r="C368" s="9" t="s">
        <v>34</v>
      </c>
      <c r="D368" s="12">
        <f>D364-D366-TRUNC(30.6001*D367)+D361</f>
        <v>18.877653499599546</v>
      </c>
    </row>
    <row r="369" spans="2:7" s="9" customFormat="1" x14ac:dyDescent="0.2">
      <c r="B369" s="9" t="s">
        <v>67</v>
      </c>
      <c r="C369" s="9" t="s">
        <v>34</v>
      </c>
      <c r="D369" s="11">
        <f>INT(D368)</f>
        <v>18</v>
      </c>
    </row>
    <row r="370" spans="2:7" s="9" customFormat="1" x14ac:dyDescent="0.2">
      <c r="B370" s="9" t="s">
        <v>68</v>
      </c>
      <c r="C370" s="9" t="s">
        <v>58</v>
      </c>
      <c r="D370" s="12">
        <f>(D368-D369)*24</f>
        <v>21.063683990389109</v>
      </c>
    </row>
    <row r="371" spans="2:7" s="9" customFormat="1" x14ac:dyDescent="0.2">
      <c r="B371" s="9" t="s">
        <v>69</v>
      </c>
      <c r="C371" s="9" t="s">
        <v>58</v>
      </c>
      <c r="D371" s="11">
        <f>INT(D370)</f>
        <v>21</v>
      </c>
      <c r="F371" s="11" t="str">
        <f>IF(D371&lt;10,"0","")&amp;D371</f>
        <v>21</v>
      </c>
      <c r="G371" s="9" t="s">
        <v>112</v>
      </c>
    </row>
    <row r="372" spans="2:7" s="9" customFormat="1" x14ac:dyDescent="0.2">
      <c r="B372" s="9" t="s">
        <v>70</v>
      </c>
      <c r="C372" s="9" t="s">
        <v>59</v>
      </c>
      <c r="D372" s="12">
        <f>(D370-D371)*60</f>
        <v>3.8210394233465195</v>
      </c>
      <c r="F372" s="11"/>
    </row>
    <row r="373" spans="2:7" s="9" customFormat="1" x14ac:dyDescent="0.2">
      <c r="B373" s="9" t="s">
        <v>71</v>
      </c>
      <c r="C373" s="9" t="s">
        <v>59</v>
      </c>
      <c r="D373" s="11">
        <f>INT(D372)</f>
        <v>3</v>
      </c>
      <c r="F373" s="11" t="str">
        <f t="shared" ref="F373:F375" si="16">IF(D373&lt;10,"0","")&amp;D373</f>
        <v>03</v>
      </c>
      <c r="G373" s="9" t="s">
        <v>112</v>
      </c>
    </row>
    <row r="374" spans="2:7" s="9" customFormat="1" x14ac:dyDescent="0.2">
      <c r="B374" s="9" t="s">
        <v>72</v>
      </c>
      <c r="C374" s="9" t="s">
        <v>60</v>
      </c>
      <c r="D374" s="12">
        <f>(D372-D373)*60</f>
        <v>49.262365400791168</v>
      </c>
      <c r="F374" s="11"/>
    </row>
    <row r="375" spans="2:7" s="9" customFormat="1" x14ac:dyDescent="0.2">
      <c r="B375" s="9" t="s">
        <v>73</v>
      </c>
      <c r="C375" s="9" t="s">
        <v>60</v>
      </c>
      <c r="D375" s="12">
        <f>ROUND(D374,0)</f>
        <v>49</v>
      </c>
      <c r="F375" s="11" t="str">
        <f t="shared" si="16"/>
        <v>49</v>
      </c>
      <c r="G375" s="9" t="s">
        <v>112</v>
      </c>
    </row>
    <row r="376" spans="2:7" s="9" customFormat="1" x14ac:dyDescent="0.2">
      <c r="B376" s="9" t="s">
        <v>3</v>
      </c>
      <c r="C376" s="9" t="s">
        <v>35</v>
      </c>
      <c r="D376" s="9">
        <f>IF(D367&lt;14,D367-1,D367-13)</f>
        <v>1</v>
      </c>
    </row>
    <row r="377" spans="2:7" s="9" customFormat="1" x14ac:dyDescent="0.2">
      <c r="B377" s="9" t="s">
        <v>2</v>
      </c>
      <c r="C377" s="9" t="s">
        <v>61</v>
      </c>
      <c r="D377" s="9">
        <f>IF(D376&gt;2,D365-4716,D365-4715)</f>
        <v>2018</v>
      </c>
    </row>
    <row r="378" spans="2:7" x14ac:dyDescent="0.2">
      <c r="B378" s="50" t="s">
        <v>0</v>
      </c>
      <c r="C378" s="50" t="s">
        <v>38</v>
      </c>
      <c r="D378" s="51">
        <f>'Time of Minimum'!C47</f>
        <v>2458138.5729037998</v>
      </c>
      <c r="E378" s="50"/>
      <c r="F378" s="52" t="s">
        <v>92</v>
      </c>
    </row>
    <row r="379" spans="2:7" x14ac:dyDescent="0.2">
      <c r="B379" t="s">
        <v>19</v>
      </c>
      <c r="D379" s="7">
        <f>D378+0.5</f>
        <v>2458139.0729037998</v>
      </c>
    </row>
    <row r="380" spans="2:7" x14ac:dyDescent="0.2">
      <c r="B380" t="s">
        <v>20</v>
      </c>
      <c r="D380" s="7">
        <f>TRUNC(D379)</f>
        <v>2458139</v>
      </c>
    </row>
    <row r="381" spans="2:7" x14ac:dyDescent="0.2">
      <c r="B381" t="s">
        <v>22</v>
      </c>
      <c r="D381" s="7">
        <f>D379-D380</f>
        <v>7.2903799824416637E-2</v>
      </c>
    </row>
    <row r="382" spans="2:7" x14ac:dyDescent="0.2">
      <c r="B382" t="s">
        <v>23</v>
      </c>
      <c r="D382">
        <f>TRUNC((D380-1867216.25)/36524.25)</f>
        <v>16</v>
      </c>
    </row>
    <row r="383" spans="2:7" x14ac:dyDescent="0.2">
      <c r="B383" t="s">
        <v>10</v>
      </c>
      <c r="D383">
        <f>IF(D380&lt;2299161,D380,(D380+1+D382-TRUNC(D382/4)))</f>
        <v>2458152</v>
      </c>
    </row>
    <row r="384" spans="2:7" x14ac:dyDescent="0.2">
      <c r="B384" t="s">
        <v>5</v>
      </c>
      <c r="D384">
        <f>D383+1524</f>
        <v>2459676</v>
      </c>
    </row>
    <row r="385" spans="2:7" x14ac:dyDescent="0.2">
      <c r="B385" t="s">
        <v>24</v>
      </c>
      <c r="D385">
        <f>TRUNC((D384-122.1)/365.25)</f>
        <v>6733</v>
      </c>
    </row>
    <row r="386" spans="2:7" x14ac:dyDescent="0.2">
      <c r="B386" t="s">
        <v>25</v>
      </c>
      <c r="D386">
        <f>TRUNC(365.25*D385)</f>
        <v>2459228</v>
      </c>
    </row>
    <row r="387" spans="2:7" x14ac:dyDescent="0.2">
      <c r="B387" t="s">
        <v>26</v>
      </c>
      <c r="D387">
        <f>TRUNC((D384-D386)/30.6001)</f>
        <v>14</v>
      </c>
    </row>
    <row r="388" spans="2:7" s="9" customFormat="1" x14ac:dyDescent="0.2">
      <c r="B388" s="9" t="s">
        <v>27</v>
      </c>
      <c r="C388" s="9" t="s">
        <v>34</v>
      </c>
      <c r="D388" s="12">
        <f>D384-D386-TRUNC(30.6001*D387)+D381</f>
        <v>20.072903799824417</v>
      </c>
    </row>
    <row r="389" spans="2:7" s="9" customFormat="1" x14ac:dyDescent="0.2">
      <c r="B389" s="9" t="s">
        <v>67</v>
      </c>
      <c r="C389" s="9" t="s">
        <v>34</v>
      </c>
      <c r="D389" s="11">
        <f>INT(D388)</f>
        <v>20</v>
      </c>
    </row>
    <row r="390" spans="2:7" s="9" customFormat="1" x14ac:dyDescent="0.2">
      <c r="B390" s="9" t="s">
        <v>68</v>
      </c>
      <c r="C390" s="9" t="s">
        <v>58</v>
      </c>
      <c r="D390" s="12">
        <f>(D388-D389)*24</f>
        <v>1.7496911957859993</v>
      </c>
    </row>
    <row r="391" spans="2:7" s="9" customFormat="1" x14ac:dyDescent="0.2">
      <c r="B391" s="9" t="s">
        <v>69</v>
      </c>
      <c r="C391" s="9" t="s">
        <v>58</v>
      </c>
      <c r="D391" s="11">
        <f>INT(D390)</f>
        <v>1</v>
      </c>
      <c r="F391" s="11" t="str">
        <f>IF(D391&lt;10,"0","")&amp;D391</f>
        <v>01</v>
      </c>
      <c r="G391" s="9" t="s">
        <v>112</v>
      </c>
    </row>
    <row r="392" spans="2:7" s="9" customFormat="1" x14ac:dyDescent="0.2">
      <c r="B392" s="9" t="s">
        <v>70</v>
      </c>
      <c r="C392" s="9" t="s">
        <v>59</v>
      </c>
      <c r="D392" s="12">
        <f>(D390-D391)*60</f>
        <v>44.981471747159958</v>
      </c>
      <c r="F392" s="11"/>
    </row>
    <row r="393" spans="2:7" s="9" customFormat="1" x14ac:dyDescent="0.2">
      <c r="B393" s="9" t="s">
        <v>71</v>
      </c>
      <c r="C393" s="9" t="s">
        <v>59</v>
      </c>
      <c r="D393" s="11">
        <f>INT(D392)</f>
        <v>44</v>
      </c>
      <c r="F393" s="11" t="str">
        <f t="shared" ref="F393:F395" si="17">IF(D393&lt;10,"0","")&amp;D393</f>
        <v>44</v>
      </c>
      <c r="G393" s="9" t="s">
        <v>112</v>
      </c>
    </row>
    <row r="394" spans="2:7" s="9" customFormat="1" x14ac:dyDescent="0.2">
      <c r="B394" s="9" t="s">
        <v>72</v>
      </c>
      <c r="C394" s="9" t="s">
        <v>60</v>
      </c>
      <c r="D394" s="12">
        <f>(D392-D393)*60</f>
        <v>58.888304829597473</v>
      </c>
      <c r="F394" s="11"/>
    </row>
    <row r="395" spans="2:7" s="9" customFormat="1" x14ac:dyDescent="0.2">
      <c r="B395" s="9" t="s">
        <v>73</v>
      </c>
      <c r="C395" s="9" t="s">
        <v>60</v>
      </c>
      <c r="D395" s="12">
        <f>ROUND(D394,0)</f>
        <v>59</v>
      </c>
      <c r="F395" s="11" t="str">
        <f t="shared" si="17"/>
        <v>59</v>
      </c>
      <c r="G395" s="9" t="s">
        <v>112</v>
      </c>
    </row>
    <row r="396" spans="2:7" s="9" customFormat="1" x14ac:dyDescent="0.2">
      <c r="B396" s="9" t="s">
        <v>3</v>
      </c>
      <c r="C396" s="9" t="s">
        <v>35</v>
      </c>
      <c r="D396" s="9">
        <f>IF(D387&lt;14,D387-1,D387-13)</f>
        <v>1</v>
      </c>
    </row>
    <row r="397" spans="2:7" s="9" customFormat="1" x14ac:dyDescent="0.2">
      <c r="B397" s="9" t="s">
        <v>2</v>
      </c>
      <c r="C397" s="9" t="s">
        <v>61</v>
      </c>
      <c r="D397" s="9">
        <f>IF(D396&gt;2,D385-4716,D385-4715)</f>
        <v>2018</v>
      </c>
    </row>
    <row r="398" spans="2:7" x14ac:dyDescent="0.2">
      <c r="B398" s="50" t="s">
        <v>0</v>
      </c>
      <c r="C398" s="50" t="s">
        <v>38</v>
      </c>
      <c r="D398" s="51">
        <f>'Time of Minimum'!C48</f>
        <v>2458139.7681541</v>
      </c>
      <c r="E398" s="50"/>
      <c r="F398" s="52" t="s">
        <v>93</v>
      </c>
    </row>
    <row r="399" spans="2:7" x14ac:dyDescent="0.2">
      <c r="B399" t="s">
        <v>19</v>
      </c>
      <c r="D399" s="7">
        <f>D398+0.5</f>
        <v>2458140.2681541</v>
      </c>
    </row>
    <row r="400" spans="2:7" x14ac:dyDescent="0.2">
      <c r="B400" t="s">
        <v>20</v>
      </c>
      <c r="D400" s="7">
        <f>TRUNC(D399)</f>
        <v>2458140</v>
      </c>
    </row>
    <row r="401" spans="2:7" x14ac:dyDescent="0.2">
      <c r="B401" t="s">
        <v>22</v>
      </c>
      <c r="D401" s="7">
        <f>D399-D400</f>
        <v>0.26815410004928708</v>
      </c>
    </row>
    <row r="402" spans="2:7" x14ac:dyDescent="0.2">
      <c r="B402" t="s">
        <v>23</v>
      </c>
      <c r="D402">
        <f>TRUNC((D400-1867216.25)/36524.25)</f>
        <v>16</v>
      </c>
    </row>
    <row r="403" spans="2:7" x14ac:dyDescent="0.2">
      <c r="B403" t="s">
        <v>10</v>
      </c>
      <c r="D403">
        <f>IF(D400&lt;2299161,D400,(D400+1+D402-TRUNC(D402/4)))</f>
        <v>2458153</v>
      </c>
    </row>
    <row r="404" spans="2:7" x14ac:dyDescent="0.2">
      <c r="B404" t="s">
        <v>5</v>
      </c>
      <c r="D404">
        <f>D403+1524</f>
        <v>2459677</v>
      </c>
    </row>
    <row r="405" spans="2:7" x14ac:dyDescent="0.2">
      <c r="B405" t="s">
        <v>24</v>
      </c>
      <c r="D405">
        <f>TRUNC((D404-122.1)/365.25)</f>
        <v>6733</v>
      </c>
    </row>
    <row r="406" spans="2:7" x14ac:dyDescent="0.2">
      <c r="B406" t="s">
        <v>25</v>
      </c>
      <c r="D406">
        <f>TRUNC(365.25*D405)</f>
        <v>2459228</v>
      </c>
    </row>
    <row r="407" spans="2:7" x14ac:dyDescent="0.2">
      <c r="B407" t="s">
        <v>26</v>
      </c>
      <c r="D407">
        <f>TRUNC((D404-D406)/30.6001)</f>
        <v>14</v>
      </c>
    </row>
    <row r="408" spans="2:7" s="9" customFormat="1" x14ac:dyDescent="0.2">
      <c r="B408" s="9" t="s">
        <v>27</v>
      </c>
      <c r="C408" s="9" t="s">
        <v>34</v>
      </c>
      <c r="D408" s="12">
        <f>D404-D406-TRUNC(30.6001*D407)+D401</f>
        <v>21.268154100049287</v>
      </c>
    </row>
    <row r="409" spans="2:7" s="9" customFormat="1" x14ac:dyDescent="0.2">
      <c r="B409" s="9" t="s">
        <v>67</v>
      </c>
      <c r="C409" s="9" t="s">
        <v>34</v>
      </c>
      <c r="D409" s="11">
        <f>INT(D408)</f>
        <v>21</v>
      </c>
    </row>
    <row r="410" spans="2:7" s="9" customFormat="1" x14ac:dyDescent="0.2">
      <c r="B410" s="9" t="s">
        <v>68</v>
      </c>
      <c r="C410" s="9" t="s">
        <v>58</v>
      </c>
      <c r="D410" s="12">
        <f>(D408-D409)*24</f>
        <v>6.4356984011828899</v>
      </c>
    </row>
    <row r="411" spans="2:7" s="9" customFormat="1" x14ac:dyDescent="0.2">
      <c r="B411" s="9" t="s">
        <v>69</v>
      </c>
      <c r="C411" s="9" t="s">
        <v>58</v>
      </c>
      <c r="D411" s="11">
        <f>INT(D410)</f>
        <v>6</v>
      </c>
      <c r="F411" s="11" t="str">
        <f>IF(D411&lt;10,"0","")&amp;D411</f>
        <v>06</v>
      </c>
      <c r="G411" s="9" t="s">
        <v>112</v>
      </c>
    </row>
    <row r="412" spans="2:7" s="9" customFormat="1" x14ac:dyDescent="0.2">
      <c r="B412" s="9" t="s">
        <v>70</v>
      </c>
      <c r="C412" s="9" t="s">
        <v>59</v>
      </c>
      <c r="D412" s="12">
        <f>(D410-D411)*60</f>
        <v>26.141904070973396</v>
      </c>
      <c r="F412" s="11"/>
    </row>
    <row r="413" spans="2:7" s="9" customFormat="1" x14ac:dyDescent="0.2">
      <c r="B413" s="9" t="s">
        <v>71</v>
      </c>
      <c r="C413" s="9" t="s">
        <v>59</v>
      </c>
      <c r="D413" s="11">
        <f>INT(D412)</f>
        <v>26</v>
      </c>
      <c r="F413" s="11" t="str">
        <f t="shared" ref="F413:F415" si="18">IF(D413&lt;10,"0","")&amp;D413</f>
        <v>26</v>
      </c>
      <c r="G413" s="9" t="s">
        <v>112</v>
      </c>
    </row>
    <row r="414" spans="2:7" s="9" customFormat="1" x14ac:dyDescent="0.2">
      <c r="B414" s="9" t="s">
        <v>72</v>
      </c>
      <c r="C414" s="9" t="s">
        <v>60</v>
      </c>
      <c r="D414" s="12">
        <f>(D412-D413)*60</f>
        <v>8.5142442584037781</v>
      </c>
      <c r="F414" s="11"/>
    </row>
    <row r="415" spans="2:7" s="9" customFormat="1" x14ac:dyDescent="0.2">
      <c r="B415" s="9" t="s">
        <v>73</v>
      </c>
      <c r="C415" s="9" t="s">
        <v>60</v>
      </c>
      <c r="D415" s="12">
        <f>ROUND(D414,0)</f>
        <v>9</v>
      </c>
      <c r="F415" s="11" t="str">
        <f t="shared" si="18"/>
        <v>09</v>
      </c>
      <c r="G415" s="9" t="s">
        <v>112</v>
      </c>
    </row>
    <row r="416" spans="2:7" s="9" customFormat="1" x14ac:dyDescent="0.2">
      <c r="B416" s="9" t="s">
        <v>3</v>
      </c>
      <c r="C416" s="9" t="s">
        <v>35</v>
      </c>
      <c r="D416" s="9">
        <f>IF(D407&lt;14,D407-1,D407-13)</f>
        <v>1</v>
      </c>
    </row>
    <row r="417" spans="2:7" s="9" customFormat="1" x14ac:dyDescent="0.2">
      <c r="B417" s="9" t="s">
        <v>2</v>
      </c>
      <c r="C417" s="9" t="s">
        <v>61</v>
      </c>
      <c r="D417" s="9">
        <f>IF(D416&gt;2,D405-4716,D405-4715)</f>
        <v>2018</v>
      </c>
    </row>
    <row r="418" spans="2:7" x14ac:dyDescent="0.2">
      <c r="B418" s="50" t="s">
        <v>0</v>
      </c>
      <c r="C418" s="50" t="s">
        <v>38</v>
      </c>
      <c r="D418" s="51">
        <f>'Time of Minimum'!C49</f>
        <v>2458140.9634043998</v>
      </c>
      <c r="E418" s="50"/>
      <c r="F418" s="52" t="s">
        <v>94</v>
      </c>
    </row>
    <row r="419" spans="2:7" x14ac:dyDescent="0.2">
      <c r="B419" t="s">
        <v>19</v>
      </c>
      <c r="D419" s="7">
        <f>D418+0.5</f>
        <v>2458141.4634043998</v>
      </c>
    </row>
    <row r="420" spans="2:7" x14ac:dyDescent="0.2">
      <c r="B420" t="s">
        <v>20</v>
      </c>
      <c r="D420" s="7">
        <f>TRUNC(D419)</f>
        <v>2458141</v>
      </c>
    </row>
    <row r="421" spans="2:7" x14ac:dyDescent="0.2">
      <c r="B421" t="s">
        <v>22</v>
      </c>
      <c r="D421" s="7">
        <f>D419-D420</f>
        <v>0.46340439980849624</v>
      </c>
    </row>
    <row r="422" spans="2:7" x14ac:dyDescent="0.2">
      <c r="B422" t="s">
        <v>23</v>
      </c>
      <c r="D422">
        <f>TRUNC((D420-1867216.25)/36524.25)</f>
        <v>16</v>
      </c>
    </row>
    <row r="423" spans="2:7" x14ac:dyDescent="0.2">
      <c r="B423" t="s">
        <v>10</v>
      </c>
      <c r="D423">
        <f>IF(D420&lt;2299161,D420,(D420+1+D422-TRUNC(D422/4)))</f>
        <v>2458154</v>
      </c>
    </row>
    <row r="424" spans="2:7" x14ac:dyDescent="0.2">
      <c r="B424" t="s">
        <v>5</v>
      </c>
      <c r="D424">
        <f>D423+1524</f>
        <v>2459678</v>
      </c>
    </row>
    <row r="425" spans="2:7" x14ac:dyDescent="0.2">
      <c r="B425" t="s">
        <v>24</v>
      </c>
      <c r="D425">
        <f>TRUNC((D424-122.1)/365.25)</f>
        <v>6733</v>
      </c>
    </row>
    <row r="426" spans="2:7" x14ac:dyDescent="0.2">
      <c r="B426" t="s">
        <v>25</v>
      </c>
      <c r="D426">
        <f>TRUNC(365.25*D425)</f>
        <v>2459228</v>
      </c>
    </row>
    <row r="427" spans="2:7" x14ac:dyDescent="0.2">
      <c r="B427" t="s">
        <v>26</v>
      </c>
      <c r="D427">
        <f>TRUNC((D424-D426)/30.6001)</f>
        <v>14</v>
      </c>
    </row>
    <row r="428" spans="2:7" s="9" customFormat="1" x14ac:dyDescent="0.2">
      <c r="B428" s="9" t="s">
        <v>27</v>
      </c>
      <c r="C428" s="9" t="s">
        <v>34</v>
      </c>
      <c r="D428" s="12">
        <f>D424-D426-TRUNC(30.6001*D427)+D421</f>
        <v>22.463404399808496</v>
      </c>
    </row>
    <row r="429" spans="2:7" s="9" customFormat="1" x14ac:dyDescent="0.2">
      <c r="B429" s="9" t="s">
        <v>67</v>
      </c>
      <c r="C429" s="9" t="s">
        <v>34</v>
      </c>
      <c r="D429" s="11">
        <f>INT(D428)</f>
        <v>22</v>
      </c>
    </row>
    <row r="430" spans="2:7" s="9" customFormat="1" x14ac:dyDescent="0.2">
      <c r="B430" s="9" t="s">
        <v>68</v>
      </c>
      <c r="C430" s="9" t="s">
        <v>58</v>
      </c>
      <c r="D430" s="12">
        <f>(D428-D429)*24</f>
        <v>11.12170559540391</v>
      </c>
    </row>
    <row r="431" spans="2:7" s="9" customFormat="1" x14ac:dyDescent="0.2">
      <c r="B431" s="9" t="s">
        <v>69</v>
      </c>
      <c r="C431" s="9" t="s">
        <v>58</v>
      </c>
      <c r="D431" s="11">
        <f>INT(D430)</f>
        <v>11</v>
      </c>
      <c r="F431" s="11" t="str">
        <f>IF(D431&lt;10,"0","")&amp;D431</f>
        <v>11</v>
      </c>
      <c r="G431" s="9" t="s">
        <v>112</v>
      </c>
    </row>
    <row r="432" spans="2:7" s="9" customFormat="1" x14ac:dyDescent="0.2">
      <c r="B432" s="9" t="s">
        <v>70</v>
      </c>
      <c r="C432" s="9" t="s">
        <v>59</v>
      </c>
      <c r="D432" s="12">
        <f>(D430-D431)*60</f>
        <v>7.302335724234581</v>
      </c>
      <c r="F432" s="11"/>
    </row>
    <row r="433" spans="2:7" s="9" customFormat="1" x14ac:dyDescent="0.2">
      <c r="B433" s="9" t="s">
        <v>71</v>
      </c>
      <c r="C433" s="9" t="s">
        <v>59</v>
      </c>
      <c r="D433" s="11">
        <f>INT(D432)</f>
        <v>7</v>
      </c>
      <c r="F433" s="11" t="str">
        <f t="shared" ref="F433:F435" si="19">IF(D433&lt;10,"0","")&amp;D433</f>
        <v>07</v>
      </c>
      <c r="G433" s="9" t="s">
        <v>112</v>
      </c>
    </row>
    <row r="434" spans="2:7" s="9" customFormat="1" x14ac:dyDescent="0.2">
      <c r="B434" s="9" t="s">
        <v>72</v>
      </c>
      <c r="C434" s="9" t="s">
        <v>60</v>
      </c>
      <c r="D434" s="12">
        <f>(D432-D433)*60</f>
        <v>18.14014345407486</v>
      </c>
      <c r="F434" s="11"/>
    </row>
    <row r="435" spans="2:7" s="9" customFormat="1" x14ac:dyDescent="0.2">
      <c r="B435" s="9" t="s">
        <v>73</v>
      </c>
      <c r="C435" s="9" t="s">
        <v>60</v>
      </c>
      <c r="D435" s="12">
        <f>ROUND(D434,0)</f>
        <v>18</v>
      </c>
      <c r="F435" s="11" t="str">
        <f t="shared" si="19"/>
        <v>18</v>
      </c>
      <c r="G435" s="9" t="s">
        <v>112</v>
      </c>
    </row>
    <row r="436" spans="2:7" s="9" customFormat="1" x14ac:dyDescent="0.2">
      <c r="B436" s="9" t="s">
        <v>3</v>
      </c>
      <c r="C436" s="9" t="s">
        <v>35</v>
      </c>
      <c r="D436" s="9">
        <f>IF(D427&lt;14,D427-1,D427-13)</f>
        <v>1</v>
      </c>
    </row>
    <row r="437" spans="2:7" s="9" customFormat="1" x14ac:dyDescent="0.2">
      <c r="B437" s="9" t="s">
        <v>2</v>
      </c>
      <c r="C437" s="9" t="s">
        <v>61</v>
      </c>
      <c r="D437" s="9">
        <f>IF(D436&gt;2,D425-4716,D425-4715)</f>
        <v>2018</v>
      </c>
    </row>
    <row r="438" spans="2:7" x14ac:dyDescent="0.2">
      <c r="B438" s="50" t="s">
        <v>0</v>
      </c>
      <c r="C438" s="50" t="s">
        <v>38</v>
      </c>
      <c r="D438" s="51">
        <f>'Time of Minimum'!C50</f>
        <v>2458142.1586547</v>
      </c>
      <c r="E438" s="50"/>
      <c r="F438" s="52" t="s">
        <v>95</v>
      </c>
    </row>
    <row r="439" spans="2:7" x14ac:dyDescent="0.2">
      <c r="B439" t="s">
        <v>19</v>
      </c>
      <c r="D439" s="7">
        <f>D438+0.5</f>
        <v>2458142.6586547</v>
      </c>
    </row>
    <row r="440" spans="2:7" x14ac:dyDescent="0.2">
      <c r="B440" t="s">
        <v>20</v>
      </c>
      <c r="D440" s="7">
        <f>TRUNC(D439)</f>
        <v>2458142</v>
      </c>
    </row>
    <row r="441" spans="2:7" x14ac:dyDescent="0.2">
      <c r="B441" t="s">
        <v>22</v>
      </c>
      <c r="D441" s="7">
        <f>D439-D440</f>
        <v>0.65865470003336668</v>
      </c>
    </row>
    <row r="442" spans="2:7" x14ac:dyDescent="0.2">
      <c r="B442" t="s">
        <v>23</v>
      </c>
      <c r="D442">
        <f>TRUNC((D440-1867216.25)/36524.25)</f>
        <v>16</v>
      </c>
    </row>
    <row r="443" spans="2:7" x14ac:dyDescent="0.2">
      <c r="B443" t="s">
        <v>10</v>
      </c>
      <c r="D443">
        <f>IF(D440&lt;2299161,D440,(D440+1+D442-TRUNC(D442/4)))</f>
        <v>2458155</v>
      </c>
    </row>
    <row r="444" spans="2:7" x14ac:dyDescent="0.2">
      <c r="B444" t="s">
        <v>5</v>
      </c>
      <c r="D444">
        <f>D443+1524</f>
        <v>2459679</v>
      </c>
    </row>
    <row r="445" spans="2:7" x14ac:dyDescent="0.2">
      <c r="B445" t="s">
        <v>24</v>
      </c>
      <c r="D445">
        <f>TRUNC((D444-122.1)/365.25)</f>
        <v>6733</v>
      </c>
    </row>
    <row r="446" spans="2:7" x14ac:dyDescent="0.2">
      <c r="B446" t="s">
        <v>25</v>
      </c>
      <c r="D446">
        <f>TRUNC(365.25*D445)</f>
        <v>2459228</v>
      </c>
    </row>
    <row r="447" spans="2:7" x14ac:dyDescent="0.2">
      <c r="B447" t="s">
        <v>26</v>
      </c>
      <c r="D447">
        <f>TRUNC((D444-D446)/30.6001)</f>
        <v>14</v>
      </c>
    </row>
    <row r="448" spans="2:7" s="9" customFormat="1" x14ac:dyDescent="0.2">
      <c r="B448" s="9" t="s">
        <v>27</v>
      </c>
      <c r="C448" s="9" t="s">
        <v>34</v>
      </c>
      <c r="D448" s="12">
        <f>D444-D446-TRUNC(30.6001*D447)+D441</f>
        <v>23.658654700033367</v>
      </c>
    </row>
    <row r="449" spans="2:7" s="9" customFormat="1" x14ac:dyDescent="0.2">
      <c r="B449" s="9" t="s">
        <v>67</v>
      </c>
      <c r="C449" s="9" t="s">
        <v>34</v>
      </c>
      <c r="D449" s="11">
        <f>INT(D448)</f>
        <v>23</v>
      </c>
    </row>
    <row r="450" spans="2:7" s="9" customFormat="1" x14ac:dyDescent="0.2">
      <c r="B450" s="9" t="s">
        <v>68</v>
      </c>
      <c r="C450" s="9" t="s">
        <v>58</v>
      </c>
      <c r="D450" s="12">
        <f>(D448-D449)*24</f>
        <v>15.8077128008008</v>
      </c>
    </row>
    <row r="451" spans="2:7" s="9" customFormat="1" x14ac:dyDescent="0.2">
      <c r="B451" s="9" t="s">
        <v>69</v>
      </c>
      <c r="C451" s="9" t="s">
        <v>58</v>
      </c>
      <c r="D451" s="11">
        <f>INT(D450)</f>
        <v>15</v>
      </c>
      <c r="F451" s="11" t="str">
        <f>IF(D451&lt;10,"0","")&amp;D451</f>
        <v>15</v>
      </c>
      <c r="G451" s="9" t="s">
        <v>112</v>
      </c>
    </row>
    <row r="452" spans="2:7" s="9" customFormat="1" x14ac:dyDescent="0.2">
      <c r="B452" s="9" t="s">
        <v>70</v>
      </c>
      <c r="C452" s="9" t="s">
        <v>59</v>
      </c>
      <c r="D452" s="12">
        <f>(D450-D451)*60</f>
        <v>48.462768048048019</v>
      </c>
      <c r="F452" s="11"/>
    </row>
    <row r="453" spans="2:7" s="9" customFormat="1" x14ac:dyDescent="0.2">
      <c r="B453" s="9" t="s">
        <v>71</v>
      </c>
      <c r="C453" s="9" t="s">
        <v>59</v>
      </c>
      <c r="D453" s="11">
        <f>INT(D452)</f>
        <v>48</v>
      </c>
      <c r="F453" s="11" t="str">
        <f t="shared" ref="F453:F455" si="20">IF(D453&lt;10,"0","")&amp;D453</f>
        <v>48</v>
      </c>
      <c r="G453" s="9" t="s">
        <v>112</v>
      </c>
    </row>
    <row r="454" spans="2:7" s="9" customFormat="1" x14ac:dyDescent="0.2">
      <c r="B454" s="9" t="s">
        <v>72</v>
      </c>
      <c r="C454" s="9" t="s">
        <v>60</v>
      </c>
      <c r="D454" s="12">
        <f>(D452-D453)*60</f>
        <v>27.766082882881165</v>
      </c>
      <c r="F454" s="11"/>
    </row>
    <row r="455" spans="2:7" s="9" customFormat="1" x14ac:dyDescent="0.2">
      <c r="B455" s="9" t="s">
        <v>73</v>
      </c>
      <c r="C455" s="9" t="s">
        <v>60</v>
      </c>
      <c r="D455" s="12">
        <f>ROUND(D454,0)</f>
        <v>28</v>
      </c>
      <c r="F455" s="11" t="str">
        <f t="shared" si="20"/>
        <v>28</v>
      </c>
      <c r="G455" s="9" t="s">
        <v>112</v>
      </c>
    </row>
    <row r="456" spans="2:7" s="9" customFormat="1" x14ac:dyDescent="0.2">
      <c r="B456" s="9" t="s">
        <v>3</v>
      </c>
      <c r="C456" s="9" t="s">
        <v>35</v>
      </c>
      <c r="D456" s="9">
        <f>IF(D447&lt;14,D447-1,D447-13)</f>
        <v>1</v>
      </c>
    </row>
    <row r="457" spans="2:7" s="9" customFormat="1" x14ac:dyDescent="0.2">
      <c r="B457" s="9" t="s">
        <v>2</v>
      </c>
      <c r="C457" s="9" t="s">
        <v>61</v>
      </c>
      <c r="D457" s="9">
        <f>IF(D456&gt;2,D445-4716,D445-4715)</f>
        <v>2018</v>
      </c>
    </row>
    <row r="458" spans="2:7" x14ac:dyDescent="0.2">
      <c r="B458" s="50" t="s">
        <v>0</v>
      </c>
      <c r="C458" s="50" t="s">
        <v>38</v>
      </c>
      <c r="D458" s="51">
        <f>'Time of Minimum'!C51</f>
        <v>2458143.3539049998</v>
      </c>
      <c r="E458" s="50"/>
      <c r="F458" s="52" t="s">
        <v>96</v>
      </c>
    </row>
    <row r="459" spans="2:7" x14ac:dyDescent="0.2">
      <c r="B459" t="s">
        <v>19</v>
      </c>
      <c r="D459" s="7">
        <f>D458+0.5</f>
        <v>2458143.8539049998</v>
      </c>
    </row>
    <row r="460" spans="2:7" x14ac:dyDescent="0.2">
      <c r="B460" t="s">
        <v>20</v>
      </c>
      <c r="D460" s="7">
        <f>TRUNC(D459)</f>
        <v>2458143</v>
      </c>
    </row>
    <row r="461" spans="2:7" x14ac:dyDescent="0.2">
      <c r="B461" t="s">
        <v>22</v>
      </c>
      <c r="D461" s="7">
        <f>D459-D460</f>
        <v>0.85390499979257584</v>
      </c>
    </row>
    <row r="462" spans="2:7" x14ac:dyDescent="0.2">
      <c r="B462" t="s">
        <v>23</v>
      </c>
      <c r="D462">
        <f>TRUNC((D460-1867216.25)/36524.25)</f>
        <v>16</v>
      </c>
    </row>
    <row r="463" spans="2:7" x14ac:dyDescent="0.2">
      <c r="B463" t="s">
        <v>10</v>
      </c>
      <c r="D463">
        <f>IF(D460&lt;2299161,D460,(D460+1+D462-TRUNC(D462/4)))</f>
        <v>2458156</v>
      </c>
    </row>
    <row r="464" spans="2:7" x14ac:dyDescent="0.2">
      <c r="B464" t="s">
        <v>5</v>
      </c>
      <c r="D464">
        <f>D463+1524</f>
        <v>2459680</v>
      </c>
    </row>
    <row r="465" spans="2:7" x14ac:dyDescent="0.2">
      <c r="B465" t="s">
        <v>24</v>
      </c>
      <c r="D465">
        <f>TRUNC((D464-122.1)/365.25)</f>
        <v>6733</v>
      </c>
    </row>
    <row r="466" spans="2:7" x14ac:dyDescent="0.2">
      <c r="B466" t="s">
        <v>25</v>
      </c>
      <c r="D466">
        <f>TRUNC(365.25*D465)</f>
        <v>2459228</v>
      </c>
    </row>
    <row r="467" spans="2:7" x14ac:dyDescent="0.2">
      <c r="B467" t="s">
        <v>26</v>
      </c>
      <c r="D467">
        <f>TRUNC((D464-D466)/30.6001)</f>
        <v>14</v>
      </c>
    </row>
    <row r="468" spans="2:7" s="9" customFormat="1" x14ac:dyDescent="0.2">
      <c r="B468" s="9" t="s">
        <v>27</v>
      </c>
      <c r="C468" s="9" t="s">
        <v>34</v>
      </c>
      <c r="D468" s="12">
        <f>D464-D466-TRUNC(30.6001*D467)+D461</f>
        <v>24.853904999792576</v>
      </c>
    </row>
    <row r="469" spans="2:7" s="9" customFormat="1" x14ac:dyDescent="0.2">
      <c r="B469" s="9" t="s">
        <v>67</v>
      </c>
      <c r="C469" s="9" t="s">
        <v>34</v>
      </c>
      <c r="D469" s="11">
        <f>INT(D468)</f>
        <v>24</v>
      </c>
    </row>
    <row r="470" spans="2:7" s="9" customFormat="1" x14ac:dyDescent="0.2">
      <c r="B470" s="9" t="s">
        <v>68</v>
      </c>
      <c r="C470" s="9" t="s">
        <v>58</v>
      </c>
      <c r="D470" s="12">
        <f>(D468-D469)*24</f>
        <v>20.49371999502182</v>
      </c>
    </row>
    <row r="471" spans="2:7" s="9" customFormat="1" x14ac:dyDescent="0.2">
      <c r="B471" s="9" t="s">
        <v>69</v>
      </c>
      <c r="C471" s="9" t="s">
        <v>58</v>
      </c>
      <c r="D471" s="11">
        <f>INT(D470)</f>
        <v>20</v>
      </c>
      <c r="F471" s="11" t="str">
        <f>IF(D471&lt;10,"0","")&amp;D471</f>
        <v>20</v>
      </c>
      <c r="G471" s="9" t="s">
        <v>112</v>
      </c>
    </row>
    <row r="472" spans="2:7" s="9" customFormat="1" x14ac:dyDescent="0.2">
      <c r="B472" s="9" t="s">
        <v>70</v>
      </c>
      <c r="C472" s="9" t="s">
        <v>59</v>
      </c>
      <c r="D472" s="12">
        <f>(D470-D471)*60</f>
        <v>29.623199701309204</v>
      </c>
      <c r="F472" s="11"/>
    </row>
    <row r="473" spans="2:7" s="9" customFormat="1" x14ac:dyDescent="0.2">
      <c r="B473" s="9" t="s">
        <v>71</v>
      </c>
      <c r="C473" s="9" t="s">
        <v>59</v>
      </c>
      <c r="D473" s="11">
        <f>INT(D472)</f>
        <v>29</v>
      </c>
      <c r="F473" s="11" t="str">
        <f t="shared" ref="F473:F475" si="21">IF(D473&lt;10,"0","")&amp;D473</f>
        <v>29</v>
      </c>
      <c r="G473" s="9" t="s">
        <v>112</v>
      </c>
    </row>
    <row r="474" spans="2:7" s="9" customFormat="1" x14ac:dyDescent="0.2">
      <c r="B474" s="9" t="s">
        <v>72</v>
      </c>
      <c r="C474" s="9" t="s">
        <v>60</v>
      </c>
      <c r="D474" s="12">
        <f>(D472-D473)*60</f>
        <v>37.391982078552246</v>
      </c>
      <c r="F474" s="11"/>
    </row>
    <row r="475" spans="2:7" s="9" customFormat="1" x14ac:dyDescent="0.2">
      <c r="B475" s="9" t="s">
        <v>73</v>
      </c>
      <c r="C475" s="9" t="s">
        <v>60</v>
      </c>
      <c r="D475" s="12">
        <f>ROUND(D474,0)</f>
        <v>37</v>
      </c>
      <c r="F475" s="11" t="str">
        <f t="shared" si="21"/>
        <v>37</v>
      </c>
      <c r="G475" s="9" t="s">
        <v>112</v>
      </c>
    </row>
    <row r="476" spans="2:7" s="9" customFormat="1" x14ac:dyDescent="0.2">
      <c r="B476" s="9" t="s">
        <v>3</v>
      </c>
      <c r="C476" s="9" t="s">
        <v>35</v>
      </c>
      <c r="D476" s="9">
        <f>IF(D467&lt;14,D467-1,D467-13)</f>
        <v>1</v>
      </c>
    </row>
    <row r="477" spans="2:7" s="9" customFormat="1" x14ac:dyDescent="0.2">
      <c r="B477" s="9" t="s">
        <v>2</v>
      </c>
      <c r="C477" s="9" t="s">
        <v>61</v>
      </c>
      <c r="D477" s="9">
        <f>IF(D476&gt;2,D465-4716,D465-4715)</f>
        <v>2018</v>
      </c>
    </row>
    <row r="478" spans="2:7" x14ac:dyDescent="0.2">
      <c r="B478" s="50" t="s">
        <v>0</v>
      </c>
      <c r="C478" s="50" t="s">
        <v>38</v>
      </c>
      <c r="D478" s="51">
        <f>'Time of Minimum'!C52</f>
        <v>2458144.5491553</v>
      </c>
      <c r="E478" s="50"/>
      <c r="F478" s="52" t="s">
        <v>97</v>
      </c>
    </row>
    <row r="479" spans="2:7" x14ac:dyDescent="0.2">
      <c r="B479" t="s">
        <v>19</v>
      </c>
      <c r="D479" s="7">
        <f>D478+0.5</f>
        <v>2458145.0491553</v>
      </c>
    </row>
    <row r="480" spans="2:7" x14ac:dyDescent="0.2">
      <c r="B480" t="s">
        <v>20</v>
      </c>
      <c r="D480" s="7">
        <f>TRUNC(D479)</f>
        <v>2458145</v>
      </c>
    </row>
    <row r="481" spans="2:7" x14ac:dyDescent="0.2">
      <c r="B481" t="s">
        <v>22</v>
      </c>
      <c r="D481" s="7">
        <f>D479-D480</f>
        <v>4.915530001744628E-2</v>
      </c>
    </row>
    <row r="482" spans="2:7" x14ac:dyDescent="0.2">
      <c r="B482" t="s">
        <v>23</v>
      </c>
      <c r="D482">
        <f>TRUNC((D480-1867216.25)/36524.25)</f>
        <v>16</v>
      </c>
    </row>
    <row r="483" spans="2:7" x14ac:dyDescent="0.2">
      <c r="B483" t="s">
        <v>10</v>
      </c>
      <c r="D483">
        <f>IF(D480&lt;2299161,D480,(D480+1+D482-TRUNC(D482/4)))</f>
        <v>2458158</v>
      </c>
    </row>
    <row r="484" spans="2:7" x14ac:dyDescent="0.2">
      <c r="B484" t="s">
        <v>5</v>
      </c>
      <c r="D484">
        <f>D483+1524</f>
        <v>2459682</v>
      </c>
    </row>
    <row r="485" spans="2:7" x14ac:dyDescent="0.2">
      <c r="B485" t="s">
        <v>24</v>
      </c>
      <c r="D485">
        <f>TRUNC((D484-122.1)/365.25)</f>
        <v>6733</v>
      </c>
    </row>
    <row r="486" spans="2:7" x14ac:dyDescent="0.2">
      <c r="B486" t="s">
        <v>25</v>
      </c>
      <c r="D486">
        <f>TRUNC(365.25*D485)</f>
        <v>2459228</v>
      </c>
    </row>
    <row r="487" spans="2:7" x14ac:dyDescent="0.2">
      <c r="B487" t="s">
        <v>26</v>
      </c>
      <c r="D487">
        <f>TRUNC((D484-D486)/30.6001)</f>
        <v>14</v>
      </c>
    </row>
    <row r="488" spans="2:7" s="9" customFormat="1" x14ac:dyDescent="0.2">
      <c r="B488" s="9" t="s">
        <v>27</v>
      </c>
      <c r="C488" s="9" t="s">
        <v>34</v>
      </c>
      <c r="D488" s="12">
        <f>D484-D486-TRUNC(30.6001*D487)+D481</f>
        <v>26.049155300017446</v>
      </c>
    </row>
    <row r="489" spans="2:7" s="9" customFormat="1" x14ac:dyDescent="0.2">
      <c r="B489" s="9" t="s">
        <v>67</v>
      </c>
      <c r="C489" s="9" t="s">
        <v>34</v>
      </c>
      <c r="D489" s="11">
        <f>INT(D488)</f>
        <v>26</v>
      </c>
    </row>
    <row r="490" spans="2:7" s="9" customFormat="1" x14ac:dyDescent="0.2">
      <c r="B490" s="9" t="s">
        <v>68</v>
      </c>
      <c r="C490" s="9" t="s">
        <v>58</v>
      </c>
      <c r="D490" s="12">
        <f>(D488-D489)*24</f>
        <v>1.1797272004187107</v>
      </c>
    </row>
    <row r="491" spans="2:7" s="9" customFormat="1" x14ac:dyDescent="0.2">
      <c r="B491" s="9" t="s">
        <v>69</v>
      </c>
      <c r="C491" s="9" t="s">
        <v>58</v>
      </c>
      <c r="D491" s="11">
        <f>INT(D490)</f>
        <v>1</v>
      </c>
      <c r="F491" s="11" t="str">
        <f>IF(D491&lt;10,"0","")&amp;D491</f>
        <v>01</v>
      </c>
      <c r="G491" s="9" t="s">
        <v>112</v>
      </c>
    </row>
    <row r="492" spans="2:7" s="9" customFormat="1" x14ac:dyDescent="0.2">
      <c r="B492" s="9" t="s">
        <v>70</v>
      </c>
      <c r="C492" s="9" t="s">
        <v>59</v>
      </c>
      <c r="D492" s="12">
        <f>(D490-D491)*60</f>
        <v>10.783632025122643</v>
      </c>
      <c r="F492" s="11"/>
    </row>
    <row r="493" spans="2:7" s="9" customFormat="1" x14ac:dyDescent="0.2">
      <c r="B493" s="9" t="s">
        <v>71</v>
      </c>
      <c r="C493" s="9" t="s">
        <v>59</v>
      </c>
      <c r="D493" s="11">
        <f>INT(D492)</f>
        <v>10</v>
      </c>
      <c r="F493" s="11" t="str">
        <f t="shared" ref="F493:F495" si="22">IF(D493&lt;10,"0","")&amp;D493</f>
        <v>10</v>
      </c>
      <c r="G493" s="9" t="s">
        <v>112</v>
      </c>
    </row>
    <row r="494" spans="2:7" s="9" customFormat="1" x14ac:dyDescent="0.2">
      <c r="B494" s="9" t="s">
        <v>72</v>
      </c>
      <c r="C494" s="9" t="s">
        <v>60</v>
      </c>
      <c r="D494" s="12">
        <f>(D492-D493)*60</f>
        <v>47.017921507358551</v>
      </c>
      <c r="F494" s="11"/>
    </row>
    <row r="495" spans="2:7" s="9" customFormat="1" x14ac:dyDescent="0.2">
      <c r="B495" s="9" t="s">
        <v>73</v>
      </c>
      <c r="C495" s="9" t="s">
        <v>60</v>
      </c>
      <c r="D495" s="12">
        <f>ROUND(D494,0)</f>
        <v>47</v>
      </c>
      <c r="F495" s="11" t="str">
        <f t="shared" si="22"/>
        <v>47</v>
      </c>
      <c r="G495" s="9" t="s">
        <v>112</v>
      </c>
    </row>
    <row r="496" spans="2:7" s="9" customFormat="1" x14ac:dyDescent="0.2">
      <c r="B496" s="9" t="s">
        <v>3</v>
      </c>
      <c r="C496" s="9" t="s">
        <v>35</v>
      </c>
      <c r="D496" s="9">
        <f>IF(D487&lt;14,D487-1,D487-13)</f>
        <v>1</v>
      </c>
    </row>
    <row r="497" spans="2:7" s="9" customFormat="1" x14ac:dyDescent="0.2">
      <c r="B497" s="9" t="s">
        <v>2</v>
      </c>
      <c r="C497" s="9" t="s">
        <v>61</v>
      </c>
      <c r="D497" s="9">
        <f>IF(D496&gt;2,D485-4716,D485-4715)</f>
        <v>2018</v>
      </c>
    </row>
    <row r="498" spans="2:7" x14ac:dyDescent="0.2">
      <c r="B498" s="50" t="s">
        <v>0</v>
      </c>
      <c r="C498" s="50" t="s">
        <v>38</v>
      </c>
      <c r="D498" s="51">
        <f>'Time of Minimum'!C53</f>
        <v>2458145.7444055998</v>
      </c>
      <c r="E498" s="50"/>
      <c r="F498" s="52" t="s">
        <v>98</v>
      </c>
    </row>
    <row r="499" spans="2:7" x14ac:dyDescent="0.2">
      <c r="B499" t="s">
        <v>19</v>
      </c>
      <c r="D499" s="7">
        <f>D498+0.5</f>
        <v>2458146.2444055998</v>
      </c>
    </row>
    <row r="500" spans="2:7" x14ac:dyDescent="0.2">
      <c r="B500" t="s">
        <v>20</v>
      </c>
      <c r="D500" s="7">
        <f>TRUNC(D499)</f>
        <v>2458146</v>
      </c>
    </row>
    <row r="501" spans="2:7" x14ac:dyDescent="0.2">
      <c r="B501" t="s">
        <v>22</v>
      </c>
      <c r="D501" s="7">
        <f>D499-D500</f>
        <v>0.24440559977665544</v>
      </c>
    </row>
    <row r="502" spans="2:7" x14ac:dyDescent="0.2">
      <c r="B502" t="s">
        <v>23</v>
      </c>
      <c r="D502">
        <f>TRUNC((D500-1867216.25)/36524.25)</f>
        <v>16</v>
      </c>
    </row>
    <row r="503" spans="2:7" x14ac:dyDescent="0.2">
      <c r="B503" t="s">
        <v>10</v>
      </c>
      <c r="D503">
        <f>IF(D500&lt;2299161,D500,(D500+1+D502-TRUNC(D502/4)))</f>
        <v>2458159</v>
      </c>
    </row>
    <row r="504" spans="2:7" x14ac:dyDescent="0.2">
      <c r="B504" t="s">
        <v>5</v>
      </c>
      <c r="D504">
        <f>D503+1524</f>
        <v>2459683</v>
      </c>
    </row>
    <row r="505" spans="2:7" x14ac:dyDescent="0.2">
      <c r="B505" t="s">
        <v>24</v>
      </c>
      <c r="D505">
        <f>TRUNC((D504-122.1)/365.25)</f>
        <v>6733</v>
      </c>
    </row>
    <row r="506" spans="2:7" x14ac:dyDescent="0.2">
      <c r="B506" t="s">
        <v>25</v>
      </c>
      <c r="D506">
        <f>TRUNC(365.25*D505)</f>
        <v>2459228</v>
      </c>
    </row>
    <row r="507" spans="2:7" x14ac:dyDescent="0.2">
      <c r="B507" t="s">
        <v>26</v>
      </c>
      <c r="D507">
        <f>TRUNC((D504-D506)/30.6001)</f>
        <v>14</v>
      </c>
    </row>
    <row r="508" spans="2:7" s="9" customFormat="1" x14ac:dyDescent="0.2">
      <c r="B508" s="9" t="s">
        <v>27</v>
      </c>
      <c r="C508" s="9" t="s">
        <v>34</v>
      </c>
      <c r="D508" s="12">
        <f>D504-D506-TRUNC(30.6001*D507)+D501</f>
        <v>27.244405599776655</v>
      </c>
    </row>
    <row r="509" spans="2:7" s="9" customFormat="1" x14ac:dyDescent="0.2">
      <c r="B509" s="9" t="s">
        <v>67</v>
      </c>
      <c r="C509" s="9" t="s">
        <v>34</v>
      </c>
      <c r="D509" s="11">
        <f>INT(D508)</f>
        <v>27</v>
      </c>
    </row>
    <row r="510" spans="2:7" s="9" customFormat="1" x14ac:dyDescent="0.2">
      <c r="B510" s="9" t="s">
        <v>68</v>
      </c>
      <c r="C510" s="9" t="s">
        <v>58</v>
      </c>
      <c r="D510" s="12">
        <f>(D508-D509)*24</f>
        <v>5.8657343946397305</v>
      </c>
    </row>
    <row r="511" spans="2:7" s="9" customFormat="1" x14ac:dyDescent="0.2">
      <c r="B511" s="9" t="s">
        <v>69</v>
      </c>
      <c r="C511" s="9" t="s">
        <v>58</v>
      </c>
      <c r="D511" s="11">
        <f>INT(D510)</f>
        <v>5</v>
      </c>
      <c r="F511" s="11" t="str">
        <f>IF(D511&lt;10,"0","")&amp;D511</f>
        <v>05</v>
      </c>
      <c r="G511" s="9" t="s">
        <v>112</v>
      </c>
    </row>
    <row r="512" spans="2:7" s="9" customFormat="1" x14ac:dyDescent="0.2">
      <c r="B512" s="9" t="s">
        <v>70</v>
      </c>
      <c r="C512" s="9" t="s">
        <v>59</v>
      </c>
      <c r="D512" s="12">
        <f>(D510-D511)*60</f>
        <v>51.944063678383827</v>
      </c>
      <c r="F512" s="11"/>
    </row>
    <row r="513" spans="2:7" s="9" customFormat="1" x14ac:dyDescent="0.2">
      <c r="B513" s="9" t="s">
        <v>71</v>
      </c>
      <c r="C513" s="9" t="s">
        <v>59</v>
      </c>
      <c r="D513" s="11">
        <f>INT(D512)</f>
        <v>51</v>
      </c>
      <c r="F513" s="11" t="str">
        <f t="shared" ref="F513:F515" si="23">IF(D513&lt;10,"0","")&amp;D513</f>
        <v>51</v>
      </c>
      <c r="G513" s="9" t="s">
        <v>112</v>
      </c>
    </row>
    <row r="514" spans="2:7" s="9" customFormat="1" x14ac:dyDescent="0.2">
      <c r="B514" s="9" t="s">
        <v>72</v>
      </c>
      <c r="C514" s="9" t="s">
        <v>60</v>
      </c>
      <c r="D514" s="12">
        <f>(D512-D513)*60</f>
        <v>56.643820703029633</v>
      </c>
      <c r="F514" s="11"/>
    </row>
    <row r="515" spans="2:7" s="9" customFormat="1" x14ac:dyDescent="0.2">
      <c r="B515" s="9" t="s">
        <v>73</v>
      </c>
      <c r="C515" s="9" t="s">
        <v>60</v>
      </c>
      <c r="D515" s="12">
        <f>ROUND(D514,0)</f>
        <v>57</v>
      </c>
      <c r="F515" s="11" t="str">
        <f t="shared" si="23"/>
        <v>57</v>
      </c>
      <c r="G515" s="9" t="s">
        <v>112</v>
      </c>
    </row>
    <row r="516" spans="2:7" s="9" customFormat="1" x14ac:dyDescent="0.2">
      <c r="B516" s="9" t="s">
        <v>3</v>
      </c>
      <c r="C516" s="9" t="s">
        <v>35</v>
      </c>
      <c r="D516" s="9">
        <f>IF(D507&lt;14,D507-1,D507-13)</f>
        <v>1</v>
      </c>
    </row>
    <row r="517" spans="2:7" s="9" customFormat="1" x14ac:dyDescent="0.2">
      <c r="B517" s="9" t="s">
        <v>2</v>
      </c>
      <c r="C517" s="9" t="s">
        <v>61</v>
      </c>
      <c r="D517" s="9">
        <f>IF(D516&gt;2,D505-4716,D505-4715)</f>
        <v>2018</v>
      </c>
    </row>
    <row r="518" spans="2:7" x14ac:dyDescent="0.2">
      <c r="B518" s="50" t="s">
        <v>0</v>
      </c>
      <c r="C518" s="50" t="s">
        <v>38</v>
      </c>
      <c r="D518" s="51">
        <f>'Time of Minimum'!C54</f>
        <v>2458146.9396559</v>
      </c>
      <c r="E518" s="50"/>
      <c r="F518" s="52" t="s">
        <v>99</v>
      </c>
    </row>
    <row r="519" spans="2:7" x14ac:dyDescent="0.2">
      <c r="B519" t="s">
        <v>19</v>
      </c>
      <c r="D519" s="7">
        <f>D518+0.5</f>
        <v>2458147.4396559</v>
      </c>
    </row>
    <row r="520" spans="2:7" x14ac:dyDescent="0.2">
      <c r="B520" t="s">
        <v>20</v>
      </c>
      <c r="D520" s="7">
        <f>TRUNC(D519)</f>
        <v>2458147</v>
      </c>
    </row>
    <row r="521" spans="2:7" x14ac:dyDescent="0.2">
      <c r="B521" t="s">
        <v>22</v>
      </c>
      <c r="D521" s="7">
        <f>D519-D520</f>
        <v>0.43965590000152588</v>
      </c>
    </row>
    <row r="522" spans="2:7" x14ac:dyDescent="0.2">
      <c r="B522" t="s">
        <v>23</v>
      </c>
      <c r="D522">
        <f>TRUNC((D520-1867216.25)/36524.25)</f>
        <v>16</v>
      </c>
    </row>
    <row r="523" spans="2:7" x14ac:dyDescent="0.2">
      <c r="B523" t="s">
        <v>10</v>
      </c>
      <c r="D523">
        <f>IF(D520&lt;2299161,D520,(D520+1+D522-TRUNC(D522/4)))</f>
        <v>2458160</v>
      </c>
    </row>
    <row r="524" spans="2:7" x14ac:dyDescent="0.2">
      <c r="B524" t="s">
        <v>5</v>
      </c>
      <c r="D524">
        <f>D523+1524</f>
        <v>2459684</v>
      </c>
    </row>
    <row r="525" spans="2:7" x14ac:dyDescent="0.2">
      <c r="B525" t="s">
        <v>24</v>
      </c>
      <c r="D525">
        <f>TRUNC((D524-122.1)/365.25)</f>
        <v>6733</v>
      </c>
    </row>
    <row r="526" spans="2:7" x14ac:dyDescent="0.2">
      <c r="B526" t="s">
        <v>25</v>
      </c>
      <c r="D526">
        <f>TRUNC(365.25*D525)</f>
        <v>2459228</v>
      </c>
    </row>
    <row r="527" spans="2:7" x14ac:dyDescent="0.2">
      <c r="B527" t="s">
        <v>26</v>
      </c>
      <c r="D527">
        <f>TRUNC((D524-D526)/30.6001)</f>
        <v>14</v>
      </c>
    </row>
    <row r="528" spans="2:7" s="9" customFormat="1" x14ac:dyDescent="0.2">
      <c r="B528" s="9" t="s">
        <v>27</v>
      </c>
      <c r="C528" s="9" t="s">
        <v>34</v>
      </c>
      <c r="D528" s="12">
        <f>D524-D526-TRUNC(30.6001*D527)+D521</f>
        <v>28.439655900001526</v>
      </c>
    </row>
    <row r="529" spans="2:7" s="9" customFormat="1" x14ac:dyDescent="0.2">
      <c r="B529" s="9" t="s">
        <v>67</v>
      </c>
      <c r="C529" s="9" t="s">
        <v>34</v>
      </c>
      <c r="D529" s="11">
        <f>INT(D528)</f>
        <v>28</v>
      </c>
    </row>
    <row r="530" spans="2:7" s="9" customFormat="1" x14ac:dyDescent="0.2">
      <c r="B530" s="9" t="s">
        <v>68</v>
      </c>
      <c r="C530" s="9" t="s">
        <v>58</v>
      </c>
      <c r="D530" s="12">
        <f>(D528-D529)*24</f>
        <v>10.551741600036621</v>
      </c>
    </row>
    <row r="531" spans="2:7" s="9" customFormat="1" x14ac:dyDescent="0.2">
      <c r="B531" s="9" t="s">
        <v>69</v>
      </c>
      <c r="C531" s="9" t="s">
        <v>58</v>
      </c>
      <c r="D531" s="11">
        <f>INT(D530)</f>
        <v>10</v>
      </c>
      <c r="F531" s="11" t="str">
        <f>IF(D531&lt;10,"0","")&amp;D531</f>
        <v>10</v>
      </c>
      <c r="G531" s="9" t="s">
        <v>112</v>
      </c>
    </row>
    <row r="532" spans="2:7" s="9" customFormat="1" x14ac:dyDescent="0.2">
      <c r="B532" s="9" t="s">
        <v>70</v>
      </c>
      <c r="C532" s="9" t="s">
        <v>59</v>
      </c>
      <c r="D532" s="12">
        <f>(D530-D531)*60</f>
        <v>33.104496002197266</v>
      </c>
      <c r="F532" s="11"/>
    </row>
    <row r="533" spans="2:7" s="9" customFormat="1" x14ac:dyDescent="0.2">
      <c r="B533" s="9" t="s">
        <v>71</v>
      </c>
      <c r="C533" s="9" t="s">
        <v>59</v>
      </c>
      <c r="D533" s="11">
        <f>INT(D532)</f>
        <v>33</v>
      </c>
      <c r="F533" s="11" t="str">
        <f t="shared" ref="F533:F535" si="24">IF(D533&lt;10,"0","")&amp;D533</f>
        <v>33</v>
      </c>
      <c r="G533" s="9" t="s">
        <v>112</v>
      </c>
    </row>
    <row r="534" spans="2:7" s="9" customFormat="1" x14ac:dyDescent="0.2">
      <c r="B534" s="9" t="s">
        <v>72</v>
      </c>
      <c r="C534" s="9" t="s">
        <v>60</v>
      </c>
      <c r="D534" s="12">
        <f>(D532-D533)*60</f>
        <v>6.2697601318359375</v>
      </c>
      <c r="F534" s="11"/>
    </row>
    <row r="535" spans="2:7" s="9" customFormat="1" x14ac:dyDescent="0.2">
      <c r="B535" s="9" t="s">
        <v>73</v>
      </c>
      <c r="C535" s="9" t="s">
        <v>60</v>
      </c>
      <c r="D535" s="12">
        <f>ROUND(D534,0)</f>
        <v>6</v>
      </c>
      <c r="F535" s="11" t="str">
        <f t="shared" si="24"/>
        <v>06</v>
      </c>
      <c r="G535" s="9" t="s">
        <v>112</v>
      </c>
    </row>
    <row r="536" spans="2:7" s="9" customFormat="1" x14ac:dyDescent="0.2">
      <c r="B536" s="9" t="s">
        <v>3</v>
      </c>
      <c r="C536" s="9" t="s">
        <v>35</v>
      </c>
      <c r="D536" s="9">
        <f>IF(D527&lt;14,D527-1,D527-13)</f>
        <v>1</v>
      </c>
    </row>
    <row r="537" spans="2:7" s="9" customFormat="1" x14ac:dyDescent="0.2">
      <c r="B537" s="9" t="s">
        <v>2</v>
      </c>
      <c r="C537" s="9" t="s">
        <v>61</v>
      </c>
      <c r="D537" s="9">
        <f>IF(D536&gt;2,D525-4716,D525-4715)</f>
        <v>2018</v>
      </c>
    </row>
    <row r="538" spans="2:7" x14ac:dyDescent="0.2">
      <c r="B538" s="50" t="s">
        <v>0</v>
      </c>
      <c r="C538" s="50" t="s">
        <v>38</v>
      </c>
      <c r="D538" s="51">
        <f>'Time of Minimum'!C55</f>
        <v>2458148.1349061998</v>
      </c>
      <c r="E538" s="50"/>
      <c r="F538" s="52" t="s">
        <v>100</v>
      </c>
    </row>
    <row r="539" spans="2:7" x14ac:dyDescent="0.2">
      <c r="B539" t="s">
        <v>19</v>
      </c>
      <c r="D539" s="7">
        <f>D538+0.5</f>
        <v>2458148.6349061998</v>
      </c>
    </row>
    <row r="540" spans="2:7" x14ac:dyDescent="0.2">
      <c r="B540" t="s">
        <v>20</v>
      </c>
      <c r="D540" s="7">
        <f>TRUNC(D539)</f>
        <v>2458148</v>
      </c>
    </row>
    <row r="541" spans="2:7" x14ac:dyDescent="0.2">
      <c r="B541" t="s">
        <v>22</v>
      </c>
      <c r="D541" s="7">
        <f>D539-D540</f>
        <v>0.63490619976073503</v>
      </c>
    </row>
    <row r="542" spans="2:7" x14ac:dyDescent="0.2">
      <c r="B542" t="s">
        <v>23</v>
      </c>
      <c r="D542">
        <f>TRUNC((D540-1867216.25)/36524.25)</f>
        <v>16</v>
      </c>
    </row>
    <row r="543" spans="2:7" x14ac:dyDescent="0.2">
      <c r="B543" t="s">
        <v>10</v>
      </c>
      <c r="D543">
        <f>IF(D540&lt;2299161,D540,(D540+1+D542-TRUNC(D542/4)))</f>
        <v>2458161</v>
      </c>
    </row>
    <row r="544" spans="2:7" x14ac:dyDescent="0.2">
      <c r="B544" t="s">
        <v>5</v>
      </c>
      <c r="D544">
        <f>D543+1524</f>
        <v>2459685</v>
      </c>
    </row>
    <row r="545" spans="2:7" x14ac:dyDescent="0.2">
      <c r="B545" t="s">
        <v>24</v>
      </c>
      <c r="D545">
        <f>TRUNC((D544-122.1)/365.25)</f>
        <v>6733</v>
      </c>
    </row>
    <row r="546" spans="2:7" x14ac:dyDescent="0.2">
      <c r="B546" t="s">
        <v>25</v>
      </c>
      <c r="D546">
        <f>TRUNC(365.25*D545)</f>
        <v>2459228</v>
      </c>
    </row>
    <row r="547" spans="2:7" x14ac:dyDescent="0.2">
      <c r="B547" t="s">
        <v>26</v>
      </c>
      <c r="D547">
        <f>TRUNC((D544-D546)/30.6001)</f>
        <v>14</v>
      </c>
    </row>
    <row r="548" spans="2:7" s="9" customFormat="1" x14ac:dyDescent="0.2">
      <c r="B548" s="9" t="s">
        <v>27</v>
      </c>
      <c r="C548" s="9" t="s">
        <v>34</v>
      </c>
      <c r="D548" s="12">
        <f>D544-D546-TRUNC(30.6001*D547)+D541</f>
        <v>29.634906199760735</v>
      </c>
    </row>
    <row r="549" spans="2:7" s="9" customFormat="1" x14ac:dyDescent="0.2">
      <c r="B549" s="9" t="s">
        <v>67</v>
      </c>
      <c r="C549" s="9" t="s">
        <v>34</v>
      </c>
      <c r="D549" s="11">
        <f>INT(D548)</f>
        <v>29</v>
      </c>
    </row>
    <row r="550" spans="2:7" s="9" customFormat="1" x14ac:dyDescent="0.2">
      <c r="B550" s="9" t="s">
        <v>68</v>
      </c>
      <c r="C550" s="9" t="s">
        <v>58</v>
      </c>
      <c r="D550" s="12">
        <f>(D548-D549)*24</f>
        <v>15.237748794257641</v>
      </c>
    </row>
    <row r="551" spans="2:7" s="9" customFormat="1" x14ac:dyDescent="0.2">
      <c r="B551" s="9" t="s">
        <v>69</v>
      </c>
      <c r="C551" s="9" t="s">
        <v>58</v>
      </c>
      <c r="D551" s="11">
        <f>INT(D550)</f>
        <v>15</v>
      </c>
      <c r="F551" s="11" t="str">
        <f>IF(D551&lt;10,"0","")&amp;D551</f>
        <v>15</v>
      </c>
      <c r="G551" s="9" t="s">
        <v>112</v>
      </c>
    </row>
    <row r="552" spans="2:7" s="9" customFormat="1" x14ac:dyDescent="0.2">
      <c r="B552" s="9" t="s">
        <v>70</v>
      </c>
      <c r="C552" s="9" t="s">
        <v>59</v>
      </c>
      <c r="D552" s="12">
        <f>(D550-D551)*60</f>
        <v>14.26492765545845</v>
      </c>
      <c r="F552" s="11"/>
    </row>
    <row r="553" spans="2:7" s="9" customFormat="1" x14ac:dyDescent="0.2">
      <c r="B553" s="9" t="s">
        <v>71</v>
      </c>
      <c r="C553" s="9" t="s">
        <v>59</v>
      </c>
      <c r="D553" s="11">
        <f>INT(D552)</f>
        <v>14</v>
      </c>
      <c r="F553" s="11" t="str">
        <f t="shared" ref="F553:F555" si="25">IF(D553&lt;10,"0","")&amp;D553</f>
        <v>14</v>
      </c>
      <c r="G553" s="9" t="s">
        <v>112</v>
      </c>
    </row>
    <row r="554" spans="2:7" s="9" customFormat="1" x14ac:dyDescent="0.2">
      <c r="B554" s="9" t="s">
        <v>72</v>
      </c>
      <c r="C554" s="9" t="s">
        <v>60</v>
      </c>
      <c r="D554" s="12">
        <f>(D552-D553)*60</f>
        <v>15.895659327507019</v>
      </c>
      <c r="F554" s="11"/>
    </row>
    <row r="555" spans="2:7" s="9" customFormat="1" x14ac:dyDescent="0.2">
      <c r="B555" s="9" t="s">
        <v>73</v>
      </c>
      <c r="C555" s="9" t="s">
        <v>60</v>
      </c>
      <c r="D555" s="12">
        <f>ROUND(D554,0)</f>
        <v>16</v>
      </c>
      <c r="F555" s="11" t="str">
        <f t="shared" si="25"/>
        <v>16</v>
      </c>
      <c r="G555" s="9" t="s">
        <v>112</v>
      </c>
    </row>
    <row r="556" spans="2:7" s="9" customFormat="1" x14ac:dyDescent="0.2">
      <c r="B556" s="9" t="s">
        <v>3</v>
      </c>
      <c r="C556" s="9" t="s">
        <v>35</v>
      </c>
      <c r="D556" s="9">
        <f>IF(D547&lt;14,D547-1,D547-13)</f>
        <v>1</v>
      </c>
    </row>
    <row r="557" spans="2:7" s="9" customFormat="1" x14ac:dyDescent="0.2">
      <c r="B557" s="9" t="s">
        <v>2</v>
      </c>
      <c r="C557" s="9" t="s">
        <v>61</v>
      </c>
      <c r="D557" s="9">
        <f>IF(D556&gt;2,D545-4716,D545-4715)</f>
        <v>2018</v>
      </c>
    </row>
    <row r="558" spans="2:7" x14ac:dyDescent="0.2">
      <c r="B558" s="50" t="s">
        <v>0</v>
      </c>
      <c r="C558" s="50" t="s">
        <v>38</v>
      </c>
      <c r="D558" s="51">
        <f>'Time of Minimum'!C56</f>
        <v>2458149.3301565</v>
      </c>
      <c r="E558" s="50"/>
      <c r="F558" s="52" t="s">
        <v>101</v>
      </c>
    </row>
    <row r="559" spans="2:7" x14ac:dyDescent="0.2">
      <c r="B559" t="s">
        <v>19</v>
      </c>
      <c r="D559" s="7">
        <f>D558+0.5</f>
        <v>2458149.8301565</v>
      </c>
    </row>
    <row r="560" spans="2:7" x14ac:dyDescent="0.2">
      <c r="B560" t="s">
        <v>20</v>
      </c>
      <c r="D560" s="7">
        <f>TRUNC(D559)</f>
        <v>2458149</v>
      </c>
    </row>
    <row r="561" spans="2:7" x14ac:dyDescent="0.2">
      <c r="B561" t="s">
        <v>22</v>
      </c>
      <c r="D561" s="7">
        <f>D559-D560</f>
        <v>0.83015649998560548</v>
      </c>
    </row>
    <row r="562" spans="2:7" x14ac:dyDescent="0.2">
      <c r="B562" t="s">
        <v>23</v>
      </c>
      <c r="D562">
        <f>TRUNC((D560-1867216.25)/36524.25)</f>
        <v>16</v>
      </c>
    </row>
    <row r="563" spans="2:7" x14ac:dyDescent="0.2">
      <c r="B563" t="s">
        <v>10</v>
      </c>
      <c r="D563">
        <f>IF(D560&lt;2299161,D560,(D560+1+D562-TRUNC(D562/4)))</f>
        <v>2458162</v>
      </c>
    </row>
    <row r="564" spans="2:7" x14ac:dyDescent="0.2">
      <c r="B564" t="s">
        <v>5</v>
      </c>
      <c r="D564">
        <f>D563+1524</f>
        <v>2459686</v>
      </c>
    </row>
    <row r="565" spans="2:7" x14ac:dyDescent="0.2">
      <c r="B565" t="s">
        <v>24</v>
      </c>
      <c r="D565">
        <f>TRUNC((D564-122.1)/365.25)</f>
        <v>6733</v>
      </c>
    </row>
    <row r="566" spans="2:7" x14ac:dyDescent="0.2">
      <c r="B566" t="s">
        <v>25</v>
      </c>
      <c r="D566">
        <f>TRUNC(365.25*D565)</f>
        <v>2459228</v>
      </c>
    </row>
    <row r="567" spans="2:7" x14ac:dyDescent="0.2">
      <c r="B567" t="s">
        <v>26</v>
      </c>
      <c r="D567">
        <f>TRUNC((D564-D566)/30.6001)</f>
        <v>14</v>
      </c>
    </row>
    <row r="568" spans="2:7" s="9" customFormat="1" x14ac:dyDescent="0.2">
      <c r="B568" s="9" t="s">
        <v>27</v>
      </c>
      <c r="C568" s="9" t="s">
        <v>34</v>
      </c>
      <c r="D568" s="12">
        <f>D564-D566-TRUNC(30.6001*D567)+D561</f>
        <v>30.830156499985605</v>
      </c>
    </row>
    <row r="569" spans="2:7" s="9" customFormat="1" x14ac:dyDescent="0.2">
      <c r="B569" s="9" t="s">
        <v>67</v>
      </c>
      <c r="C569" s="9" t="s">
        <v>34</v>
      </c>
      <c r="D569" s="11">
        <f>INT(D568)</f>
        <v>30</v>
      </c>
    </row>
    <row r="570" spans="2:7" s="9" customFormat="1" x14ac:dyDescent="0.2">
      <c r="B570" s="9" t="s">
        <v>68</v>
      </c>
      <c r="C570" s="9" t="s">
        <v>58</v>
      </c>
      <c r="D570" s="12">
        <f>(D568-D569)*24</f>
        <v>19.923755999654531</v>
      </c>
    </row>
    <row r="571" spans="2:7" s="9" customFormat="1" x14ac:dyDescent="0.2">
      <c r="B571" s="9" t="s">
        <v>69</v>
      </c>
      <c r="C571" s="9" t="s">
        <v>58</v>
      </c>
      <c r="D571" s="11">
        <f>INT(D570)</f>
        <v>19</v>
      </c>
      <c r="F571" s="11" t="str">
        <f>IF(D571&lt;10,"0","")&amp;D571</f>
        <v>19</v>
      </c>
      <c r="G571" s="9" t="s">
        <v>112</v>
      </c>
    </row>
    <row r="572" spans="2:7" s="9" customFormat="1" x14ac:dyDescent="0.2">
      <c r="B572" s="9" t="s">
        <v>70</v>
      </c>
      <c r="C572" s="9" t="s">
        <v>59</v>
      </c>
      <c r="D572" s="12">
        <f>(D570-D571)*60</f>
        <v>55.425359979271889</v>
      </c>
      <c r="F572" s="11"/>
    </row>
    <row r="573" spans="2:7" s="9" customFormat="1" x14ac:dyDescent="0.2">
      <c r="B573" s="9" t="s">
        <v>71</v>
      </c>
      <c r="C573" s="9" t="s">
        <v>59</v>
      </c>
      <c r="D573" s="11">
        <f>INT(D572)</f>
        <v>55</v>
      </c>
      <c r="F573" s="11" t="str">
        <f t="shared" ref="F573:F575" si="26">IF(D573&lt;10,"0","")&amp;D573</f>
        <v>55</v>
      </c>
      <c r="G573" s="9" t="s">
        <v>112</v>
      </c>
    </row>
    <row r="574" spans="2:7" s="9" customFormat="1" x14ac:dyDescent="0.2">
      <c r="B574" s="9" t="s">
        <v>72</v>
      </c>
      <c r="C574" s="9" t="s">
        <v>60</v>
      </c>
      <c r="D574" s="12">
        <f>(D572-D573)*60</f>
        <v>25.521598756313324</v>
      </c>
      <c r="F574" s="11"/>
    </row>
    <row r="575" spans="2:7" s="9" customFormat="1" x14ac:dyDescent="0.2">
      <c r="B575" s="9" t="s">
        <v>73</v>
      </c>
      <c r="C575" s="9" t="s">
        <v>60</v>
      </c>
      <c r="D575" s="12">
        <f>ROUND(D574,0)</f>
        <v>26</v>
      </c>
      <c r="F575" s="11" t="str">
        <f t="shared" si="26"/>
        <v>26</v>
      </c>
      <c r="G575" s="9" t="s">
        <v>112</v>
      </c>
    </row>
    <row r="576" spans="2:7" s="9" customFormat="1" x14ac:dyDescent="0.2">
      <c r="B576" s="9" t="s">
        <v>3</v>
      </c>
      <c r="C576" s="9" t="s">
        <v>35</v>
      </c>
      <c r="D576" s="9">
        <f>IF(D567&lt;14,D567-1,D567-13)</f>
        <v>1</v>
      </c>
    </row>
    <row r="577" spans="2:7" s="9" customFormat="1" x14ac:dyDescent="0.2">
      <c r="B577" s="9" t="s">
        <v>2</v>
      </c>
      <c r="C577" s="9" t="s">
        <v>61</v>
      </c>
      <c r="D577" s="9">
        <f>IF(D576&gt;2,D565-4716,D565-4715)</f>
        <v>2018</v>
      </c>
    </row>
    <row r="578" spans="2:7" x14ac:dyDescent="0.2">
      <c r="B578" s="50" t="s">
        <v>0</v>
      </c>
      <c r="C578" s="50" t="s">
        <v>38</v>
      </c>
      <c r="D578" s="51">
        <f>'Time of Minimum'!C57</f>
        <v>2458150.5254067997</v>
      </c>
      <c r="E578" s="50"/>
      <c r="F578" s="52" t="s">
        <v>102</v>
      </c>
    </row>
    <row r="579" spans="2:7" x14ac:dyDescent="0.2">
      <c r="B579" t="s">
        <v>19</v>
      </c>
      <c r="D579" s="7">
        <f>D578+0.5</f>
        <v>2458151.0254067997</v>
      </c>
    </row>
    <row r="580" spans="2:7" x14ac:dyDescent="0.2">
      <c r="B580" t="s">
        <v>20</v>
      </c>
      <c r="D580" s="7">
        <f>TRUNC(D579)</f>
        <v>2458151</v>
      </c>
    </row>
    <row r="581" spans="2:7" x14ac:dyDescent="0.2">
      <c r="B581" t="s">
        <v>22</v>
      </c>
      <c r="D581" s="7">
        <f>D579-D580</f>
        <v>2.5406799744814634E-2</v>
      </c>
    </row>
    <row r="582" spans="2:7" x14ac:dyDescent="0.2">
      <c r="B582" t="s">
        <v>23</v>
      </c>
      <c r="D582">
        <f>TRUNC((D580-1867216.25)/36524.25)</f>
        <v>16</v>
      </c>
    </row>
    <row r="583" spans="2:7" x14ac:dyDescent="0.2">
      <c r="B583" t="s">
        <v>10</v>
      </c>
      <c r="D583">
        <f>IF(D580&lt;2299161,D580,(D580+1+D582-TRUNC(D582/4)))</f>
        <v>2458164</v>
      </c>
    </row>
    <row r="584" spans="2:7" x14ac:dyDescent="0.2">
      <c r="B584" t="s">
        <v>5</v>
      </c>
      <c r="D584">
        <f>D583+1524</f>
        <v>2459688</v>
      </c>
    </row>
    <row r="585" spans="2:7" x14ac:dyDescent="0.2">
      <c r="B585" t="s">
        <v>24</v>
      </c>
      <c r="D585">
        <f>TRUNC((D584-122.1)/365.25)</f>
        <v>6733</v>
      </c>
    </row>
    <row r="586" spans="2:7" x14ac:dyDescent="0.2">
      <c r="B586" t="s">
        <v>25</v>
      </c>
      <c r="D586">
        <f>TRUNC(365.25*D585)</f>
        <v>2459228</v>
      </c>
    </row>
    <row r="587" spans="2:7" x14ac:dyDescent="0.2">
      <c r="B587" t="s">
        <v>26</v>
      </c>
      <c r="D587">
        <f>TRUNC((D584-D586)/30.6001)</f>
        <v>15</v>
      </c>
    </row>
    <row r="588" spans="2:7" s="9" customFormat="1" x14ac:dyDescent="0.2">
      <c r="B588" s="9" t="s">
        <v>27</v>
      </c>
      <c r="C588" s="9" t="s">
        <v>34</v>
      </c>
      <c r="D588" s="12">
        <f>D584-D586-TRUNC(30.6001*D587)+D581</f>
        <v>1.0254067997448146</v>
      </c>
    </row>
    <row r="589" spans="2:7" s="9" customFormat="1" x14ac:dyDescent="0.2">
      <c r="B589" s="9" t="s">
        <v>67</v>
      </c>
      <c r="C589" s="9" t="s">
        <v>34</v>
      </c>
      <c r="D589" s="11">
        <f>INT(D588)</f>
        <v>1</v>
      </c>
    </row>
    <row r="590" spans="2:7" s="9" customFormat="1" x14ac:dyDescent="0.2">
      <c r="B590" s="9" t="s">
        <v>68</v>
      </c>
      <c r="C590" s="9" t="s">
        <v>58</v>
      </c>
      <c r="D590" s="12">
        <f>(D588-D589)*24</f>
        <v>0.60976319387555122</v>
      </c>
    </row>
    <row r="591" spans="2:7" s="9" customFormat="1" x14ac:dyDescent="0.2">
      <c r="B591" s="9" t="s">
        <v>69</v>
      </c>
      <c r="C591" s="9" t="s">
        <v>58</v>
      </c>
      <c r="D591" s="11">
        <f>INT(D590)</f>
        <v>0</v>
      </c>
      <c r="F591" s="11" t="str">
        <f>IF(D591&lt;10,"0","")&amp;D591</f>
        <v>00</v>
      </c>
      <c r="G591" s="9" t="s">
        <v>112</v>
      </c>
    </row>
    <row r="592" spans="2:7" s="9" customFormat="1" x14ac:dyDescent="0.2">
      <c r="B592" s="9" t="s">
        <v>70</v>
      </c>
      <c r="C592" s="9" t="s">
        <v>59</v>
      </c>
      <c r="D592" s="12">
        <f>(D590-D591)*60</f>
        <v>36.585791632533073</v>
      </c>
      <c r="F592" s="11"/>
    </row>
    <row r="593" spans="2:7" s="9" customFormat="1" x14ac:dyDescent="0.2">
      <c r="B593" s="9" t="s">
        <v>71</v>
      </c>
      <c r="C593" s="9" t="s">
        <v>59</v>
      </c>
      <c r="D593" s="11">
        <f>INT(D592)</f>
        <v>36</v>
      </c>
      <c r="F593" s="11" t="str">
        <f t="shared" ref="F593:F595" si="27">IF(D593&lt;10,"0","")&amp;D593</f>
        <v>36</v>
      </c>
      <c r="G593" s="9" t="s">
        <v>112</v>
      </c>
    </row>
    <row r="594" spans="2:7" s="9" customFormat="1" x14ac:dyDescent="0.2">
      <c r="B594" s="9" t="s">
        <v>72</v>
      </c>
      <c r="C594" s="9" t="s">
        <v>60</v>
      </c>
      <c r="D594" s="12">
        <f>(D592-D593)*60</f>
        <v>35.147497951984406</v>
      </c>
      <c r="F594" s="11"/>
    </row>
    <row r="595" spans="2:7" s="9" customFormat="1" x14ac:dyDescent="0.2">
      <c r="B595" s="9" t="s">
        <v>73</v>
      </c>
      <c r="C595" s="9" t="s">
        <v>60</v>
      </c>
      <c r="D595" s="12">
        <f>ROUND(D594,0)</f>
        <v>35</v>
      </c>
      <c r="F595" s="11" t="str">
        <f t="shared" si="27"/>
        <v>35</v>
      </c>
      <c r="G595" s="9" t="s">
        <v>112</v>
      </c>
    </row>
    <row r="596" spans="2:7" s="9" customFormat="1" x14ac:dyDescent="0.2">
      <c r="B596" s="9" t="s">
        <v>3</v>
      </c>
      <c r="C596" s="9" t="s">
        <v>35</v>
      </c>
      <c r="D596" s="9">
        <f>IF(D587&lt;14,D587-1,D587-13)</f>
        <v>2</v>
      </c>
    </row>
    <row r="597" spans="2:7" s="9" customFormat="1" x14ac:dyDescent="0.2">
      <c r="B597" s="9" t="s">
        <v>2</v>
      </c>
      <c r="C597" s="9" t="s">
        <v>61</v>
      </c>
      <c r="D597" s="9">
        <f>IF(D596&gt;2,D585-4716,D585-4715)</f>
        <v>2018</v>
      </c>
    </row>
    <row r="598" spans="2:7" x14ac:dyDescent="0.2">
      <c r="B598" s="50" t="s">
        <v>0</v>
      </c>
      <c r="C598" s="50" t="s">
        <v>38</v>
      </c>
      <c r="D598" s="51">
        <f>'Time of Minimum'!C58</f>
        <v>2458151.7206571</v>
      </c>
      <c r="E598" s="50"/>
      <c r="F598" s="52" t="s">
        <v>103</v>
      </c>
    </row>
    <row r="599" spans="2:7" x14ac:dyDescent="0.2">
      <c r="B599" t="s">
        <v>19</v>
      </c>
      <c r="D599" s="7">
        <f>D598+0.5</f>
        <v>2458152.2206571</v>
      </c>
    </row>
    <row r="600" spans="2:7" x14ac:dyDescent="0.2">
      <c r="B600" t="s">
        <v>20</v>
      </c>
      <c r="D600" s="7">
        <f>TRUNC(D599)</f>
        <v>2458152</v>
      </c>
    </row>
    <row r="601" spans="2:7" x14ac:dyDescent="0.2">
      <c r="B601" t="s">
        <v>22</v>
      </c>
      <c r="D601" s="7">
        <f>D599-D600</f>
        <v>0.22065709996968508</v>
      </c>
    </row>
    <row r="602" spans="2:7" x14ac:dyDescent="0.2">
      <c r="B602" t="s">
        <v>23</v>
      </c>
      <c r="D602">
        <f>TRUNC((D600-1867216.25)/36524.25)</f>
        <v>16</v>
      </c>
    </row>
    <row r="603" spans="2:7" x14ac:dyDescent="0.2">
      <c r="B603" t="s">
        <v>10</v>
      </c>
      <c r="D603">
        <f>IF(D600&lt;2299161,D600,(D600+1+D602-TRUNC(D602/4)))</f>
        <v>2458165</v>
      </c>
    </row>
    <row r="604" spans="2:7" x14ac:dyDescent="0.2">
      <c r="B604" t="s">
        <v>5</v>
      </c>
      <c r="D604">
        <f>D603+1524</f>
        <v>2459689</v>
      </c>
    </row>
    <row r="605" spans="2:7" x14ac:dyDescent="0.2">
      <c r="B605" t="s">
        <v>24</v>
      </c>
      <c r="D605">
        <f>TRUNC((D604-122.1)/365.25)</f>
        <v>6733</v>
      </c>
    </row>
    <row r="606" spans="2:7" x14ac:dyDescent="0.2">
      <c r="B606" t="s">
        <v>25</v>
      </c>
      <c r="D606">
        <f>TRUNC(365.25*D605)</f>
        <v>2459228</v>
      </c>
    </row>
    <row r="607" spans="2:7" x14ac:dyDescent="0.2">
      <c r="B607" t="s">
        <v>26</v>
      </c>
      <c r="D607">
        <f>TRUNC((D604-D606)/30.6001)</f>
        <v>15</v>
      </c>
    </row>
    <row r="608" spans="2:7" s="9" customFormat="1" x14ac:dyDescent="0.2">
      <c r="B608" s="9" t="s">
        <v>27</v>
      </c>
      <c r="C608" s="9" t="s">
        <v>34</v>
      </c>
      <c r="D608" s="12">
        <f>D604-D606-TRUNC(30.6001*D607)+D601</f>
        <v>2.2206570999696851</v>
      </c>
    </row>
    <row r="609" spans="2:7" s="9" customFormat="1" x14ac:dyDescent="0.2">
      <c r="B609" s="9" t="s">
        <v>67</v>
      </c>
      <c r="C609" s="9" t="s">
        <v>34</v>
      </c>
      <c r="D609" s="11">
        <f>INT(D608)</f>
        <v>2</v>
      </c>
    </row>
    <row r="610" spans="2:7" s="9" customFormat="1" x14ac:dyDescent="0.2">
      <c r="B610" s="9" t="s">
        <v>68</v>
      </c>
      <c r="C610" s="9" t="s">
        <v>58</v>
      </c>
      <c r="D610" s="12">
        <f>(D608-D609)*24</f>
        <v>5.2957703992724419</v>
      </c>
    </row>
    <row r="611" spans="2:7" s="9" customFormat="1" x14ac:dyDescent="0.2">
      <c r="B611" s="9" t="s">
        <v>69</v>
      </c>
      <c r="C611" s="9" t="s">
        <v>58</v>
      </c>
      <c r="D611" s="11">
        <f>INT(D610)</f>
        <v>5</v>
      </c>
      <c r="F611" s="11" t="str">
        <f>IF(D611&lt;10,"0","")&amp;D611</f>
        <v>05</v>
      </c>
      <c r="G611" s="9" t="s">
        <v>112</v>
      </c>
    </row>
    <row r="612" spans="2:7" s="9" customFormat="1" x14ac:dyDescent="0.2">
      <c r="B612" s="9" t="s">
        <v>70</v>
      </c>
      <c r="C612" s="9" t="s">
        <v>59</v>
      </c>
      <c r="D612" s="12">
        <f>(D610-D611)*60</f>
        <v>17.746223956346512</v>
      </c>
      <c r="F612" s="11"/>
    </row>
    <row r="613" spans="2:7" s="9" customFormat="1" x14ac:dyDescent="0.2">
      <c r="B613" s="9" t="s">
        <v>71</v>
      </c>
      <c r="C613" s="9" t="s">
        <v>59</v>
      </c>
      <c r="D613" s="11">
        <f>INT(D612)</f>
        <v>17</v>
      </c>
      <c r="F613" s="11" t="str">
        <f t="shared" ref="F613:F615" si="28">IF(D613&lt;10,"0","")&amp;D613</f>
        <v>17</v>
      </c>
      <c r="G613" s="9" t="s">
        <v>112</v>
      </c>
    </row>
    <row r="614" spans="2:7" s="9" customFormat="1" x14ac:dyDescent="0.2">
      <c r="B614" s="9" t="s">
        <v>72</v>
      </c>
      <c r="C614" s="9" t="s">
        <v>60</v>
      </c>
      <c r="D614" s="12">
        <f>(D612-D613)*60</f>
        <v>44.77343738079071</v>
      </c>
      <c r="F614" s="11"/>
    </row>
    <row r="615" spans="2:7" s="9" customFormat="1" x14ac:dyDescent="0.2">
      <c r="B615" s="9" t="s">
        <v>73</v>
      </c>
      <c r="C615" s="9" t="s">
        <v>60</v>
      </c>
      <c r="D615" s="12">
        <f>ROUND(D614,0)</f>
        <v>45</v>
      </c>
      <c r="F615" s="11" t="str">
        <f t="shared" si="28"/>
        <v>45</v>
      </c>
      <c r="G615" s="9" t="s">
        <v>112</v>
      </c>
    </row>
    <row r="616" spans="2:7" s="9" customFormat="1" x14ac:dyDescent="0.2">
      <c r="B616" s="9" t="s">
        <v>3</v>
      </c>
      <c r="C616" s="9" t="s">
        <v>35</v>
      </c>
      <c r="D616" s="9">
        <f>IF(D607&lt;14,D607-1,D607-13)</f>
        <v>2</v>
      </c>
    </row>
    <row r="617" spans="2:7" s="9" customFormat="1" x14ac:dyDescent="0.2">
      <c r="B617" s="9" t="s">
        <v>2</v>
      </c>
      <c r="C617" s="9" t="s">
        <v>61</v>
      </c>
      <c r="D617" s="9">
        <f>IF(D616&gt;2,D605-4716,D605-4715)</f>
        <v>2018</v>
      </c>
    </row>
    <row r="618" spans="2:7" x14ac:dyDescent="0.2">
      <c r="B618" s="50" t="s">
        <v>0</v>
      </c>
      <c r="C618" s="50" t="s">
        <v>38</v>
      </c>
      <c r="D618" s="51">
        <f>'Time of Minimum'!C59</f>
        <v>2458152.9159073997</v>
      </c>
      <c r="E618" s="50"/>
      <c r="F618" s="52" t="s">
        <v>104</v>
      </c>
    </row>
    <row r="619" spans="2:7" x14ac:dyDescent="0.2">
      <c r="B619" t="s">
        <v>19</v>
      </c>
      <c r="D619" s="7">
        <f>D618+0.5</f>
        <v>2458153.4159073997</v>
      </c>
    </row>
    <row r="620" spans="2:7" x14ac:dyDescent="0.2">
      <c r="B620" t="s">
        <v>20</v>
      </c>
      <c r="D620" s="7">
        <f>TRUNC(D619)</f>
        <v>2458153</v>
      </c>
    </row>
    <row r="621" spans="2:7" x14ac:dyDescent="0.2">
      <c r="B621" t="s">
        <v>22</v>
      </c>
      <c r="D621" s="7">
        <f>D619-D620</f>
        <v>0.41590739972889423</v>
      </c>
    </row>
    <row r="622" spans="2:7" x14ac:dyDescent="0.2">
      <c r="B622" t="s">
        <v>23</v>
      </c>
      <c r="D622">
        <f>TRUNC((D620-1867216.25)/36524.25)</f>
        <v>16</v>
      </c>
    </row>
    <row r="623" spans="2:7" x14ac:dyDescent="0.2">
      <c r="B623" t="s">
        <v>10</v>
      </c>
      <c r="D623">
        <f>IF(D620&lt;2299161,D620,(D620+1+D622-TRUNC(D622/4)))</f>
        <v>2458166</v>
      </c>
    </row>
    <row r="624" spans="2:7" x14ac:dyDescent="0.2">
      <c r="B624" t="s">
        <v>5</v>
      </c>
      <c r="D624">
        <f>D623+1524</f>
        <v>2459690</v>
      </c>
    </row>
    <row r="625" spans="2:7" x14ac:dyDescent="0.2">
      <c r="B625" t="s">
        <v>24</v>
      </c>
      <c r="D625">
        <f>TRUNC((D624-122.1)/365.25)</f>
        <v>6733</v>
      </c>
    </row>
    <row r="626" spans="2:7" x14ac:dyDescent="0.2">
      <c r="B626" t="s">
        <v>25</v>
      </c>
      <c r="D626">
        <f>TRUNC(365.25*D625)</f>
        <v>2459228</v>
      </c>
    </row>
    <row r="627" spans="2:7" x14ac:dyDescent="0.2">
      <c r="B627" t="s">
        <v>26</v>
      </c>
      <c r="D627">
        <f>TRUNC((D624-D626)/30.6001)</f>
        <v>15</v>
      </c>
    </row>
    <row r="628" spans="2:7" s="9" customFormat="1" x14ac:dyDescent="0.2">
      <c r="B628" s="9" t="s">
        <v>27</v>
      </c>
      <c r="C628" s="9" t="s">
        <v>34</v>
      </c>
      <c r="D628" s="12">
        <f>D624-D626-TRUNC(30.6001*D627)+D621</f>
        <v>3.4159073997288942</v>
      </c>
    </row>
    <row r="629" spans="2:7" s="9" customFormat="1" x14ac:dyDescent="0.2">
      <c r="B629" s="9" t="s">
        <v>67</v>
      </c>
      <c r="C629" s="9" t="s">
        <v>34</v>
      </c>
      <c r="D629" s="11">
        <f>INT(D628)</f>
        <v>3</v>
      </c>
    </row>
    <row r="630" spans="2:7" s="9" customFormat="1" x14ac:dyDescent="0.2">
      <c r="B630" s="9" t="s">
        <v>68</v>
      </c>
      <c r="C630" s="9" t="s">
        <v>58</v>
      </c>
      <c r="D630" s="12">
        <f>(D628-D629)*24</f>
        <v>9.9817775934934616</v>
      </c>
    </row>
    <row r="631" spans="2:7" s="9" customFormat="1" x14ac:dyDescent="0.2">
      <c r="B631" s="9" t="s">
        <v>69</v>
      </c>
      <c r="C631" s="9" t="s">
        <v>58</v>
      </c>
      <c r="D631" s="11">
        <f>INT(D630)</f>
        <v>9</v>
      </c>
      <c r="F631" s="11" t="str">
        <f>IF(D631&lt;10,"0","")&amp;D631</f>
        <v>09</v>
      </c>
      <c r="G631" s="9" t="s">
        <v>112</v>
      </c>
    </row>
    <row r="632" spans="2:7" s="9" customFormat="1" x14ac:dyDescent="0.2">
      <c r="B632" s="9" t="s">
        <v>70</v>
      </c>
      <c r="C632" s="9" t="s">
        <v>59</v>
      </c>
      <c r="D632" s="12">
        <f>(D630-D631)*60</f>
        <v>58.906655609607697</v>
      </c>
      <c r="F632" s="11"/>
    </row>
    <row r="633" spans="2:7" s="9" customFormat="1" x14ac:dyDescent="0.2">
      <c r="B633" s="9" t="s">
        <v>71</v>
      </c>
      <c r="C633" s="9" t="s">
        <v>59</v>
      </c>
      <c r="D633" s="11">
        <f>INT(D632)</f>
        <v>58</v>
      </c>
      <c r="F633" s="11" t="str">
        <f t="shared" ref="F633:F635" si="29">IF(D633&lt;10,"0","")&amp;D633</f>
        <v>58</v>
      </c>
      <c r="G633" s="9" t="s">
        <v>112</v>
      </c>
    </row>
    <row r="634" spans="2:7" s="9" customFormat="1" x14ac:dyDescent="0.2">
      <c r="B634" s="9" t="s">
        <v>72</v>
      </c>
      <c r="C634" s="9" t="s">
        <v>60</v>
      </c>
      <c r="D634" s="12">
        <f>(D632-D633)*60</f>
        <v>54.399336576461792</v>
      </c>
      <c r="F634" s="11"/>
    </row>
    <row r="635" spans="2:7" s="9" customFormat="1" x14ac:dyDescent="0.2">
      <c r="B635" s="9" t="s">
        <v>73</v>
      </c>
      <c r="C635" s="9" t="s">
        <v>60</v>
      </c>
      <c r="D635" s="12">
        <f>ROUND(D634,0)</f>
        <v>54</v>
      </c>
      <c r="F635" s="11" t="str">
        <f t="shared" si="29"/>
        <v>54</v>
      </c>
      <c r="G635" s="9" t="s">
        <v>112</v>
      </c>
    </row>
    <row r="636" spans="2:7" s="9" customFormat="1" x14ac:dyDescent="0.2">
      <c r="B636" s="9" t="s">
        <v>3</v>
      </c>
      <c r="C636" s="9" t="s">
        <v>35</v>
      </c>
      <c r="D636" s="9">
        <f>IF(D627&lt;14,D627-1,D627-13)</f>
        <v>2</v>
      </c>
    </row>
    <row r="637" spans="2:7" s="9" customFormat="1" x14ac:dyDescent="0.2">
      <c r="B637" s="9" t="s">
        <v>2</v>
      </c>
      <c r="C637" s="9" t="s">
        <v>61</v>
      </c>
      <c r="D637" s="9">
        <f>IF(D636&gt;2,D625-4716,D625-4715)</f>
        <v>2018</v>
      </c>
    </row>
    <row r="638" spans="2:7" x14ac:dyDescent="0.2">
      <c r="B638" s="50" t="s">
        <v>0</v>
      </c>
      <c r="C638" s="50" t="s">
        <v>38</v>
      </c>
      <c r="D638" s="51">
        <f>'Time of Minimum'!C60</f>
        <v>2458154.1111577</v>
      </c>
      <c r="E638" s="50"/>
      <c r="F638" s="52" t="s">
        <v>105</v>
      </c>
    </row>
    <row r="639" spans="2:7" x14ac:dyDescent="0.2">
      <c r="B639" t="s">
        <v>19</v>
      </c>
      <c r="D639" s="7">
        <f>D638+0.5</f>
        <v>2458154.6111577</v>
      </c>
    </row>
    <row r="640" spans="2:7" x14ac:dyDescent="0.2">
      <c r="B640" t="s">
        <v>20</v>
      </c>
      <c r="D640" s="7">
        <f>TRUNC(D639)</f>
        <v>2458154</v>
      </c>
    </row>
    <row r="641" spans="2:7" x14ac:dyDescent="0.2">
      <c r="B641" t="s">
        <v>22</v>
      </c>
      <c r="D641" s="7">
        <f>D639-D640</f>
        <v>0.61115769995376468</v>
      </c>
    </row>
    <row r="642" spans="2:7" x14ac:dyDescent="0.2">
      <c r="B642" t="s">
        <v>23</v>
      </c>
      <c r="D642">
        <f>TRUNC((D640-1867216.25)/36524.25)</f>
        <v>16</v>
      </c>
    </row>
    <row r="643" spans="2:7" x14ac:dyDescent="0.2">
      <c r="B643" t="s">
        <v>10</v>
      </c>
      <c r="D643">
        <f>IF(D640&lt;2299161,D640,(D640+1+D642-TRUNC(D642/4)))</f>
        <v>2458167</v>
      </c>
    </row>
    <row r="644" spans="2:7" x14ac:dyDescent="0.2">
      <c r="B644" t="s">
        <v>5</v>
      </c>
      <c r="D644">
        <f>D643+1524</f>
        <v>2459691</v>
      </c>
    </row>
    <row r="645" spans="2:7" x14ac:dyDescent="0.2">
      <c r="B645" t="s">
        <v>24</v>
      </c>
      <c r="D645">
        <f>TRUNC((D644-122.1)/365.25)</f>
        <v>6733</v>
      </c>
    </row>
    <row r="646" spans="2:7" x14ac:dyDescent="0.2">
      <c r="B646" t="s">
        <v>25</v>
      </c>
      <c r="D646">
        <f>TRUNC(365.25*D645)</f>
        <v>2459228</v>
      </c>
    </row>
    <row r="647" spans="2:7" x14ac:dyDescent="0.2">
      <c r="B647" t="s">
        <v>26</v>
      </c>
      <c r="D647">
        <f>TRUNC((D644-D646)/30.6001)</f>
        <v>15</v>
      </c>
    </row>
    <row r="648" spans="2:7" s="9" customFormat="1" x14ac:dyDescent="0.2">
      <c r="B648" s="9" t="s">
        <v>27</v>
      </c>
      <c r="C648" s="9" t="s">
        <v>34</v>
      </c>
      <c r="D648" s="12">
        <f>D644-D646-TRUNC(30.6001*D647)+D641</f>
        <v>4.6111576999537647</v>
      </c>
    </row>
    <row r="649" spans="2:7" s="9" customFormat="1" x14ac:dyDescent="0.2">
      <c r="B649" s="9" t="s">
        <v>67</v>
      </c>
      <c r="C649" s="9" t="s">
        <v>34</v>
      </c>
      <c r="D649" s="11">
        <f>INT(D648)</f>
        <v>4</v>
      </c>
    </row>
    <row r="650" spans="2:7" s="9" customFormat="1" x14ac:dyDescent="0.2">
      <c r="B650" s="9" t="s">
        <v>68</v>
      </c>
      <c r="C650" s="9" t="s">
        <v>58</v>
      </c>
      <c r="D650" s="12">
        <f>(D648-D649)*24</f>
        <v>14.667784798890352</v>
      </c>
    </row>
    <row r="651" spans="2:7" s="9" customFormat="1" x14ac:dyDescent="0.2">
      <c r="B651" s="9" t="s">
        <v>69</v>
      </c>
      <c r="C651" s="9" t="s">
        <v>58</v>
      </c>
      <c r="D651" s="11">
        <f>INT(D650)</f>
        <v>14</v>
      </c>
      <c r="F651" s="11" t="str">
        <f>IF(D651&lt;10,"0","")&amp;D651</f>
        <v>14</v>
      </c>
      <c r="G651" s="9" t="s">
        <v>112</v>
      </c>
    </row>
    <row r="652" spans="2:7" s="9" customFormat="1" x14ac:dyDescent="0.2">
      <c r="B652" s="9" t="s">
        <v>70</v>
      </c>
      <c r="C652" s="9" t="s">
        <v>59</v>
      </c>
      <c r="D652" s="12">
        <f>(D650-D651)*60</f>
        <v>40.067087933421135</v>
      </c>
      <c r="F652" s="11"/>
    </row>
    <row r="653" spans="2:7" s="9" customFormat="1" x14ac:dyDescent="0.2">
      <c r="B653" s="9" t="s">
        <v>71</v>
      </c>
      <c r="C653" s="9" t="s">
        <v>59</v>
      </c>
      <c r="D653" s="11">
        <f>INT(D652)</f>
        <v>40</v>
      </c>
      <c r="F653" s="11" t="str">
        <f t="shared" ref="F653:F655" si="30">IF(D653&lt;10,"0","")&amp;D653</f>
        <v>40</v>
      </c>
      <c r="G653" s="9" t="s">
        <v>112</v>
      </c>
    </row>
    <row r="654" spans="2:7" s="9" customFormat="1" x14ac:dyDescent="0.2">
      <c r="B654" s="9" t="s">
        <v>72</v>
      </c>
      <c r="C654" s="9" t="s">
        <v>60</v>
      </c>
      <c r="D654" s="12">
        <f>(D652-D653)*60</f>
        <v>4.0252760052680969</v>
      </c>
      <c r="F654" s="11"/>
    </row>
    <row r="655" spans="2:7" s="9" customFormat="1" x14ac:dyDescent="0.2">
      <c r="B655" s="9" t="s">
        <v>73</v>
      </c>
      <c r="C655" s="9" t="s">
        <v>60</v>
      </c>
      <c r="D655" s="12">
        <f>ROUND(D654,0)</f>
        <v>4</v>
      </c>
      <c r="F655" s="11" t="str">
        <f t="shared" si="30"/>
        <v>04</v>
      </c>
      <c r="G655" s="9" t="s">
        <v>112</v>
      </c>
    </row>
    <row r="656" spans="2:7" s="9" customFormat="1" x14ac:dyDescent="0.2">
      <c r="B656" s="9" t="s">
        <v>3</v>
      </c>
      <c r="C656" s="9" t="s">
        <v>35</v>
      </c>
      <c r="D656" s="9">
        <f>IF(D647&lt;14,D647-1,D647-13)</f>
        <v>2</v>
      </c>
    </row>
    <row r="657" spans="2:6" s="9" customFormat="1" x14ac:dyDescent="0.2">
      <c r="B657" s="9" t="s">
        <v>2</v>
      </c>
      <c r="C657" s="9" t="s">
        <v>61</v>
      </c>
      <c r="D657" s="9">
        <f>IF(D656&gt;2,D645-4716,D645-4715)</f>
        <v>2018</v>
      </c>
    </row>
    <row r="658" spans="2:6" x14ac:dyDescent="0.2">
      <c r="B658" s="50"/>
      <c r="C658" s="50"/>
      <c r="D658" s="50"/>
      <c r="E658" s="50"/>
      <c r="F658" s="50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ignoredErrors>
    <ignoredError sqref="D50 D52:D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Time of Minimum</vt:lpstr>
      <vt:lpstr>Calc.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Date of Minimum</dc:title>
  <dc:creator>Jonas Schenker</dc:creator>
  <cp:lastModifiedBy>Jonas Schenker</cp:lastModifiedBy>
  <cp:lastPrinted>2018-01-25T21:32:10Z</cp:lastPrinted>
  <dcterms:created xsi:type="dcterms:W3CDTF">2015-11-24T18:12:34Z</dcterms:created>
  <dcterms:modified xsi:type="dcterms:W3CDTF">2018-01-25T21:41:51Z</dcterms:modified>
</cp:coreProperties>
</file>